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kartikdalal/Desktop/Audit Meridian Health/Output/"/>
    </mc:Choice>
  </mc:AlternateContent>
  <xr:revisionPtr revIDLastSave="0" documentId="13_ncr:1_{1991A069-2885-F848-9F69-9CA0B349E837}" xr6:coauthVersionLast="47" xr6:coauthVersionMax="47" xr10:uidLastSave="{00000000-0000-0000-0000-000000000000}"/>
  <bookViews>
    <workbookView xWindow="0" yWindow="500" windowWidth="28800" windowHeight="16020" tabRatio="500" activeTab="7" xr2:uid="{00000000-000D-0000-FFFF-FFFF00000000}"/>
  </bookViews>
  <sheets>
    <sheet name="Summary" sheetId="1" r:id="rId1"/>
    <sheet name="Assumptions" sheetId="2" r:id="rId2"/>
    <sheet name="Revenue" sheetId="3" r:id="rId3"/>
    <sheet name="Orders" sheetId="4" r:id="rId4"/>
    <sheet name="Inventory" sheetId="5" r:id="rId5"/>
    <sheet name="Controls" sheetId="6" r:id="rId6"/>
    <sheet name="Traps" sheetId="7" r:id="rId7"/>
    <sheet name="Addback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4" i="1" l="1"/>
  <c r="G32" i="8"/>
  <c r="E32" i="8"/>
  <c r="G31" i="8"/>
  <c r="E31" i="8"/>
  <c r="G30" i="8"/>
  <c r="E30" i="8"/>
  <c r="E29" i="8"/>
  <c r="G29" i="8" s="1"/>
  <c r="G33" i="8" s="1"/>
  <c r="F25" i="8"/>
  <c r="F24" i="8"/>
  <c r="F23" i="8"/>
  <c r="F22" i="8"/>
  <c r="F17" i="8"/>
  <c r="F16" i="8"/>
  <c r="F15" i="8"/>
  <c r="F14" i="8"/>
  <c r="F13" i="8"/>
  <c r="F12" i="8"/>
  <c r="F11" i="8"/>
  <c r="F10" i="8"/>
  <c r="F9" i="8"/>
  <c r="F8" i="8"/>
  <c r="F7" i="8"/>
  <c r="F6" i="8"/>
  <c r="F18" i="8" s="1"/>
  <c r="F5" i="8"/>
  <c r="E64" i="6"/>
  <c r="O61" i="6"/>
  <c r="L61" i="6"/>
  <c r="K61" i="6"/>
  <c r="J61" i="6"/>
  <c r="I61" i="6"/>
  <c r="O60" i="6"/>
  <c r="L60" i="6"/>
  <c r="K60" i="6"/>
  <c r="J60" i="6"/>
  <c r="I60" i="6"/>
  <c r="M60" i="6" s="1"/>
  <c r="O59" i="6"/>
  <c r="N59" i="6"/>
  <c r="M59" i="6"/>
  <c r="L59" i="6"/>
  <c r="K59" i="6"/>
  <c r="J59" i="6"/>
  <c r="I59" i="6"/>
  <c r="O58" i="6"/>
  <c r="N58" i="6"/>
  <c r="M58" i="6"/>
  <c r="L58" i="6"/>
  <c r="K58" i="6"/>
  <c r="J58" i="6"/>
  <c r="I58" i="6"/>
  <c r="O57" i="6"/>
  <c r="L57" i="6"/>
  <c r="K57" i="6"/>
  <c r="J57" i="6"/>
  <c r="I57" i="6"/>
  <c r="O56" i="6"/>
  <c r="N56" i="6"/>
  <c r="M56" i="6"/>
  <c r="L56" i="6"/>
  <c r="K56" i="6"/>
  <c r="J56" i="6"/>
  <c r="I56" i="6"/>
  <c r="O55" i="6"/>
  <c r="M55" i="6"/>
  <c r="L55" i="6"/>
  <c r="K55" i="6"/>
  <c r="J55" i="6"/>
  <c r="I55" i="6"/>
  <c r="N55" i="6" s="1"/>
  <c r="O54" i="6"/>
  <c r="L54" i="6"/>
  <c r="K54" i="6"/>
  <c r="J54" i="6"/>
  <c r="I54" i="6"/>
  <c r="N54" i="6" s="1"/>
  <c r="O53" i="6"/>
  <c r="L53" i="6"/>
  <c r="K53" i="6"/>
  <c r="J53" i="6"/>
  <c r="I53" i="6"/>
  <c r="O52" i="6"/>
  <c r="L52" i="6"/>
  <c r="K52" i="6"/>
  <c r="J52" i="6"/>
  <c r="I52" i="6"/>
  <c r="M52" i="6" s="1"/>
  <c r="O51" i="6"/>
  <c r="L51" i="6"/>
  <c r="K51" i="6"/>
  <c r="J51" i="6"/>
  <c r="I51" i="6"/>
  <c r="N51" i="6" s="1"/>
  <c r="O50" i="6"/>
  <c r="N50" i="6"/>
  <c r="M50" i="6"/>
  <c r="L50" i="6"/>
  <c r="K50" i="6"/>
  <c r="J50" i="6"/>
  <c r="I50" i="6"/>
  <c r="O49" i="6"/>
  <c r="N49" i="6"/>
  <c r="M49" i="6"/>
  <c r="L49" i="6"/>
  <c r="P49" i="6" s="1"/>
  <c r="K49" i="6"/>
  <c r="J49" i="6"/>
  <c r="I49" i="6"/>
  <c r="O48" i="6"/>
  <c r="N48" i="6"/>
  <c r="M48" i="6"/>
  <c r="L48" i="6"/>
  <c r="K48" i="6"/>
  <c r="J48" i="6"/>
  <c r="I48" i="6"/>
  <c r="O47" i="6"/>
  <c r="M47" i="6"/>
  <c r="L47" i="6"/>
  <c r="K47" i="6"/>
  <c r="J47" i="6"/>
  <c r="I47" i="6"/>
  <c r="N47" i="6" s="1"/>
  <c r="O46" i="6"/>
  <c r="L46" i="6"/>
  <c r="K46" i="6"/>
  <c r="J46" i="6"/>
  <c r="I46" i="6"/>
  <c r="N46" i="6" s="1"/>
  <c r="O45" i="6"/>
  <c r="L45" i="6"/>
  <c r="K45" i="6"/>
  <c r="J45" i="6"/>
  <c r="I45" i="6"/>
  <c r="N45" i="6" s="1"/>
  <c r="O44" i="6"/>
  <c r="L44" i="6"/>
  <c r="K44" i="6"/>
  <c r="J44" i="6"/>
  <c r="I44" i="6"/>
  <c r="N53" i="6" s="1"/>
  <c r="O43" i="6"/>
  <c r="L43" i="6"/>
  <c r="K43" i="6"/>
  <c r="J43" i="6"/>
  <c r="I43" i="6"/>
  <c r="N43" i="6" s="1"/>
  <c r="O42" i="6"/>
  <c r="N42" i="6"/>
  <c r="M42" i="6"/>
  <c r="L42" i="6"/>
  <c r="K42" i="6"/>
  <c r="J42" i="6"/>
  <c r="I42" i="6"/>
  <c r="O41" i="6"/>
  <c r="N41" i="6"/>
  <c r="M41" i="6"/>
  <c r="L41" i="6"/>
  <c r="K41" i="6"/>
  <c r="J41" i="6"/>
  <c r="I41" i="6"/>
  <c r="O40" i="6"/>
  <c r="N40" i="6"/>
  <c r="M40" i="6"/>
  <c r="L40" i="6"/>
  <c r="P40" i="6" s="1"/>
  <c r="K40" i="6"/>
  <c r="J40" i="6"/>
  <c r="I40" i="6"/>
  <c r="O39" i="6"/>
  <c r="M39" i="6"/>
  <c r="L39" i="6"/>
  <c r="K39" i="6"/>
  <c r="J39" i="6"/>
  <c r="I39" i="6"/>
  <c r="N39" i="6" s="1"/>
  <c r="O38" i="6"/>
  <c r="L38" i="6"/>
  <c r="K38" i="6"/>
  <c r="J38" i="6"/>
  <c r="I38" i="6"/>
  <c r="N38" i="6" s="1"/>
  <c r="O37" i="6"/>
  <c r="K37" i="6"/>
  <c r="L37" i="6" s="1"/>
  <c r="J37" i="6"/>
  <c r="I37" i="6"/>
  <c r="N37" i="6" s="1"/>
  <c r="O36" i="6"/>
  <c r="L36" i="6"/>
  <c r="K36" i="6"/>
  <c r="J36" i="6"/>
  <c r="I36" i="6"/>
  <c r="M36" i="6" s="1"/>
  <c r="O35" i="6"/>
  <c r="K35" i="6"/>
  <c r="L35" i="6" s="1"/>
  <c r="J35" i="6"/>
  <c r="I35" i="6"/>
  <c r="N35" i="6" s="1"/>
  <c r="O34" i="6"/>
  <c r="N34" i="6"/>
  <c r="M34" i="6"/>
  <c r="L34" i="6"/>
  <c r="K34" i="6"/>
  <c r="J34" i="6"/>
  <c r="I34" i="6"/>
  <c r="O33" i="6"/>
  <c r="N33" i="6"/>
  <c r="M33" i="6"/>
  <c r="L33" i="6"/>
  <c r="K33" i="6"/>
  <c r="J33" i="6"/>
  <c r="I33" i="6"/>
  <c r="O32" i="6"/>
  <c r="N32" i="6"/>
  <c r="M32" i="6"/>
  <c r="L32" i="6"/>
  <c r="P32" i="6" s="1"/>
  <c r="K32" i="6"/>
  <c r="J32" i="6"/>
  <c r="I32" i="6"/>
  <c r="O31" i="6"/>
  <c r="K31" i="6"/>
  <c r="M31" i="6" s="1"/>
  <c r="J31" i="6"/>
  <c r="I31" i="6"/>
  <c r="N31" i="6" s="1"/>
  <c r="O30" i="6"/>
  <c r="L30" i="6"/>
  <c r="K30" i="6"/>
  <c r="J30" i="6"/>
  <c r="I30" i="6"/>
  <c r="N30" i="6" s="1"/>
  <c r="O29" i="6"/>
  <c r="K29" i="6"/>
  <c r="J29" i="6"/>
  <c r="L29" i="6" s="1"/>
  <c r="I29" i="6"/>
  <c r="O28" i="6"/>
  <c r="K28" i="6"/>
  <c r="J28" i="6"/>
  <c r="L28" i="6" s="1"/>
  <c r="I28" i="6"/>
  <c r="O27" i="6"/>
  <c r="K27" i="6"/>
  <c r="J27" i="6"/>
  <c r="L27" i="6" s="1"/>
  <c r="I27" i="6"/>
  <c r="O26" i="6"/>
  <c r="N26" i="6"/>
  <c r="M26" i="6"/>
  <c r="L26" i="6"/>
  <c r="K26" i="6"/>
  <c r="J26" i="6"/>
  <c r="I26" i="6"/>
  <c r="O25" i="6"/>
  <c r="N25" i="6"/>
  <c r="M25" i="6"/>
  <c r="L25" i="6"/>
  <c r="K25" i="6"/>
  <c r="J25" i="6"/>
  <c r="I25" i="6"/>
  <c r="O24" i="6"/>
  <c r="M24" i="6"/>
  <c r="K24" i="6"/>
  <c r="L24" i="6" s="1"/>
  <c r="J24" i="6"/>
  <c r="I24" i="6"/>
  <c r="O23" i="6"/>
  <c r="K23" i="6"/>
  <c r="M23" i="6" s="1"/>
  <c r="J23" i="6"/>
  <c r="I23" i="6"/>
  <c r="O22" i="6"/>
  <c r="K22" i="6"/>
  <c r="J22" i="6"/>
  <c r="L22" i="6" s="1"/>
  <c r="I22" i="6"/>
  <c r="O21" i="6"/>
  <c r="K21" i="6"/>
  <c r="J21" i="6"/>
  <c r="L21" i="6" s="1"/>
  <c r="I21" i="6"/>
  <c r="O20" i="6"/>
  <c r="K20" i="6"/>
  <c r="J20" i="6"/>
  <c r="L20" i="6" s="1"/>
  <c r="I20" i="6"/>
  <c r="O19" i="6"/>
  <c r="K19" i="6"/>
  <c r="J19" i="6"/>
  <c r="L19" i="6" s="1"/>
  <c r="I19" i="6"/>
  <c r="M19" i="6" s="1"/>
  <c r="O18" i="6"/>
  <c r="N18" i="6"/>
  <c r="M18" i="6"/>
  <c r="L18" i="6"/>
  <c r="K18" i="6"/>
  <c r="J18" i="6"/>
  <c r="I18" i="6"/>
  <c r="O17" i="6"/>
  <c r="N17" i="6"/>
  <c r="M17" i="6"/>
  <c r="L17" i="6"/>
  <c r="K17" i="6"/>
  <c r="J17" i="6"/>
  <c r="I17" i="6"/>
  <c r="O16" i="6"/>
  <c r="N16" i="6"/>
  <c r="M16" i="6"/>
  <c r="L16" i="6"/>
  <c r="P16" i="6" s="1"/>
  <c r="K16" i="6"/>
  <c r="J16" i="6"/>
  <c r="I16" i="6"/>
  <c r="O15" i="6"/>
  <c r="K15" i="6"/>
  <c r="M15" i="6" s="1"/>
  <c r="J15" i="6"/>
  <c r="L15" i="6" s="1"/>
  <c r="I15" i="6"/>
  <c r="O14" i="6"/>
  <c r="K14" i="6"/>
  <c r="J14" i="6"/>
  <c r="L14" i="6" s="1"/>
  <c r="I14" i="6"/>
  <c r="O13" i="6"/>
  <c r="K13" i="6"/>
  <c r="J13" i="6"/>
  <c r="I13" i="6"/>
  <c r="O12" i="6"/>
  <c r="K12" i="6"/>
  <c r="J12" i="6"/>
  <c r="L12" i="6" s="1"/>
  <c r="I12" i="6"/>
  <c r="O11" i="6"/>
  <c r="N11" i="6"/>
  <c r="K11" i="6"/>
  <c r="J11" i="6"/>
  <c r="L11" i="6" s="1"/>
  <c r="I11" i="6"/>
  <c r="M11" i="6" s="1"/>
  <c r="O10" i="6"/>
  <c r="N10" i="6"/>
  <c r="M10" i="6"/>
  <c r="L10" i="6"/>
  <c r="K10" i="6"/>
  <c r="J10" i="6"/>
  <c r="I10" i="6"/>
  <c r="O9" i="6"/>
  <c r="N9" i="6"/>
  <c r="M9" i="6"/>
  <c r="L9" i="6"/>
  <c r="P9" i="6" s="1"/>
  <c r="K9" i="6"/>
  <c r="J9" i="6"/>
  <c r="I9" i="6"/>
  <c r="O8" i="6"/>
  <c r="K8" i="6"/>
  <c r="N8" i="6" s="1"/>
  <c r="J8" i="6"/>
  <c r="I8" i="6"/>
  <c r="O7" i="6"/>
  <c r="M7" i="6"/>
  <c r="K7" i="6"/>
  <c r="J7" i="6"/>
  <c r="L7" i="6" s="1"/>
  <c r="P7" i="6" s="1"/>
  <c r="I7" i="6"/>
  <c r="N7" i="6" s="1"/>
  <c r="O6" i="6"/>
  <c r="L6" i="6"/>
  <c r="K6" i="6"/>
  <c r="J6" i="6"/>
  <c r="I6" i="6"/>
  <c r="O5" i="6"/>
  <c r="K5" i="6"/>
  <c r="J5" i="6"/>
  <c r="L5" i="6" s="1"/>
  <c r="I5" i="6"/>
  <c r="O4" i="6"/>
  <c r="K4" i="6"/>
  <c r="J4" i="6"/>
  <c r="L4" i="6" s="1"/>
  <c r="I4" i="6"/>
  <c r="O3" i="6"/>
  <c r="K3" i="6"/>
  <c r="J3" i="6"/>
  <c r="L3" i="6" s="1"/>
  <c r="I3" i="6"/>
  <c r="M3" i="6" s="1"/>
  <c r="O2" i="6"/>
  <c r="N2" i="6"/>
  <c r="M2" i="6"/>
  <c r="L2" i="6"/>
  <c r="K2" i="6"/>
  <c r="J2" i="6"/>
  <c r="I2" i="6"/>
  <c r="U601" i="5"/>
  <c r="S601" i="5"/>
  <c r="T601" i="5" s="1"/>
  <c r="Q601" i="5"/>
  <c r="P601" i="5"/>
  <c r="O601" i="5"/>
  <c r="L601" i="5"/>
  <c r="M601" i="5" s="1"/>
  <c r="N601" i="5" s="1"/>
  <c r="U600" i="5"/>
  <c r="S600" i="5"/>
  <c r="T600" i="5" s="1"/>
  <c r="Q600" i="5"/>
  <c r="P600" i="5"/>
  <c r="O600" i="5"/>
  <c r="L600" i="5"/>
  <c r="U599" i="5"/>
  <c r="S599" i="5"/>
  <c r="T599" i="5" s="1"/>
  <c r="Q599" i="5"/>
  <c r="P599" i="5"/>
  <c r="O599" i="5"/>
  <c r="L599" i="5"/>
  <c r="M599" i="5" s="1"/>
  <c r="U598" i="5"/>
  <c r="S598" i="5"/>
  <c r="T598" i="5" s="1"/>
  <c r="Q598" i="5"/>
  <c r="P598" i="5"/>
  <c r="O598" i="5"/>
  <c r="L598" i="5"/>
  <c r="M598" i="5" s="1"/>
  <c r="U597" i="5"/>
  <c r="S597" i="5"/>
  <c r="T597" i="5" s="1"/>
  <c r="Q597" i="5"/>
  <c r="P597" i="5"/>
  <c r="O597" i="5"/>
  <c r="L597" i="5"/>
  <c r="M597" i="5" s="1"/>
  <c r="U596" i="5"/>
  <c r="S596" i="5"/>
  <c r="T596" i="5" s="1"/>
  <c r="Q596" i="5"/>
  <c r="P596" i="5"/>
  <c r="O596" i="5"/>
  <c r="L596" i="5"/>
  <c r="U595" i="5"/>
  <c r="S595" i="5"/>
  <c r="T595" i="5" s="1"/>
  <c r="Q595" i="5"/>
  <c r="P595" i="5"/>
  <c r="O595" i="5"/>
  <c r="N595" i="5"/>
  <c r="L595" i="5"/>
  <c r="M595" i="5" s="1"/>
  <c r="U594" i="5"/>
  <c r="S594" i="5"/>
  <c r="T594" i="5" s="1"/>
  <c r="Q594" i="5"/>
  <c r="P594" i="5"/>
  <c r="O594" i="5"/>
  <c r="L594" i="5"/>
  <c r="M594" i="5" s="1"/>
  <c r="U593" i="5"/>
  <c r="S593" i="5"/>
  <c r="T593" i="5" s="1"/>
  <c r="Q593" i="5"/>
  <c r="P593" i="5"/>
  <c r="O593" i="5"/>
  <c r="L593" i="5"/>
  <c r="U592" i="5"/>
  <c r="S592" i="5"/>
  <c r="T592" i="5" s="1"/>
  <c r="Q592" i="5"/>
  <c r="P592" i="5"/>
  <c r="O592" i="5"/>
  <c r="N592" i="5"/>
  <c r="L592" i="5"/>
  <c r="M592" i="5" s="1"/>
  <c r="U591" i="5"/>
  <c r="S591" i="5"/>
  <c r="T591" i="5" s="1"/>
  <c r="Q591" i="5"/>
  <c r="P591" i="5"/>
  <c r="O591" i="5"/>
  <c r="N591" i="5"/>
  <c r="L591" i="5"/>
  <c r="M591" i="5" s="1"/>
  <c r="U590" i="5"/>
  <c r="S590" i="5"/>
  <c r="T590" i="5" s="1"/>
  <c r="Q590" i="5"/>
  <c r="P590" i="5"/>
  <c r="O590" i="5"/>
  <c r="L590" i="5"/>
  <c r="U589" i="5"/>
  <c r="S589" i="5"/>
  <c r="T589" i="5" s="1"/>
  <c r="Q589" i="5"/>
  <c r="P589" i="5"/>
  <c r="O589" i="5"/>
  <c r="L589" i="5"/>
  <c r="M589" i="5" s="1"/>
  <c r="N589" i="5" s="1"/>
  <c r="U588" i="5"/>
  <c r="S588" i="5"/>
  <c r="T588" i="5" s="1"/>
  <c r="Q588" i="5"/>
  <c r="P588" i="5"/>
  <c r="O588" i="5"/>
  <c r="N588" i="5"/>
  <c r="L588" i="5"/>
  <c r="M588" i="5" s="1"/>
  <c r="U587" i="5"/>
  <c r="S587" i="5"/>
  <c r="T587" i="5" s="1"/>
  <c r="Q587" i="5"/>
  <c r="P587" i="5"/>
  <c r="O587" i="5"/>
  <c r="N587" i="5"/>
  <c r="L587" i="5"/>
  <c r="M587" i="5" s="1"/>
  <c r="U586" i="5"/>
  <c r="S586" i="5"/>
  <c r="T586" i="5" s="1"/>
  <c r="Q586" i="5"/>
  <c r="P586" i="5"/>
  <c r="O586" i="5"/>
  <c r="L586" i="5"/>
  <c r="U585" i="5"/>
  <c r="S585" i="5"/>
  <c r="T585" i="5" s="1"/>
  <c r="Q585" i="5"/>
  <c r="P585" i="5"/>
  <c r="O585" i="5"/>
  <c r="L585" i="5"/>
  <c r="U584" i="5"/>
  <c r="S584" i="5"/>
  <c r="T584" i="5" s="1"/>
  <c r="Q584" i="5"/>
  <c r="P584" i="5"/>
  <c r="O584" i="5"/>
  <c r="L584" i="5"/>
  <c r="U583" i="5"/>
  <c r="S583" i="5"/>
  <c r="T583" i="5" s="1"/>
  <c r="Q583" i="5"/>
  <c r="P583" i="5"/>
  <c r="O583" i="5"/>
  <c r="L583" i="5"/>
  <c r="U582" i="5"/>
  <c r="S582" i="5"/>
  <c r="T582" i="5" s="1"/>
  <c r="Q582" i="5"/>
  <c r="P582" i="5"/>
  <c r="O582" i="5"/>
  <c r="L582" i="5"/>
  <c r="M582" i="5" s="1"/>
  <c r="U581" i="5"/>
  <c r="S581" i="5"/>
  <c r="T581" i="5" s="1"/>
  <c r="Q581" i="5"/>
  <c r="P581" i="5"/>
  <c r="O581" i="5"/>
  <c r="L581" i="5"/>
  <c r="M581" i="5" s="1"/>
  <c r="U580" i="5"/>
  <c r="S580" i="5"/>
  <c r="T580" i="5" s="1"/>
  <c r="Q580" i="5"/>
  <c r="P580" i="5"/>
  <c r="O580" i="5"/>
  <c r="L580" i="5"/>
  <c r="U579" i="5"/>
  <c r="S579" i="5"/>
  <c r="T579" i="5" s="1"/>
  <c r="Q579" i="5"/>
  <c r="P579" i="5"/>
  <c r="O579" i="5"/>
  <c r="L579" i="5"/>
  <c r="M579" i="5" s="1"/>
  <c r="U578" i="5"/>
  <c r="S578" i="5"/>
  <c r="T578" i="5" s="1"/>
  <c r="Q578" i="5"/>
  <c r="P578" i="5"/>
  <c r="O578" i="5"/>
  <c r="L578" i="5"/>
  <c r="U577" i="5"/>
  <c r="S577" i="5"/>
  <c r="T577" i="5" s="1"/>
  <c r="Q577" i="5"/>
  <c r="P577" i="5"/>
  <c r="O577" i="5"/>
  <c r="L577" i="5"/>
  <c r="U576" i="5"/>
  <c r="S576" i="5"/>
  <c r="T576" i="5" s="1"/>
  <c r="Q576" i="5"/>
  <c r="P576" i="5"/>
  <c r="O576" i="5"/>
  <c r="L576" i="5"/>
  <c r="U575" i="5"/>
  <c r="S575" i="5"/>
  <c r="T575" i="5" s="1"/>
  <c r="Q575" i="5"/>
  <c r="P575" i="5"/>
  <c r="O575" i="5"/>
  <c r="L575" i="5"/>
  <c r="M575" i="5" s="1"/>
  <c r="N575" i="5" s="1"/>
  <c r="U574" i="5"/>
  <c r="S574" i="5"/>
  <c r="T574" i="5" s="1"/>
  <c r="Q574" i="5"/>
  <c r="P574" i="5"/>
  <c r="O574" i="5"/>
  <c r="L574" i="5"/>
  <c r="U573" i="5"/>
  <c r="S573" i="5"/>
  <c r="T573" i="5" s="1"/>
  <c r="Q573" i="5"/>
  <c r="P573" i="5"/>
  <c r="O573" i="5"/>
  <c r="L573" i="5"/>
  <c r="U572" i="5"/>
  <c r="S572" i="5"/>
  <c r="T572" i="5" s="1"/>
  <c r="Q572" i="5"/>
  <c r="P572" i="5"/>
  <c r="O572" i="5"/>
  <c r="L572" i="5"/>
  <c r="U571" i="5"/>
  <c r="S571" i="5"/>
  <c r="T571" i="5" s="1"/>
  <c r="Q571" i="5"/>
  <c r="P571" i="5"/>
  <c r="O571" i="5"/>
  <c r="L571" i="5"/>
  <c r="U570" i="5"/>
  <c r="S570" i="5"/>
  <c r="T570" i="5" s="1"/>
  <c r="Q570" i="5"/>
  <c r="P570" i="5"/>
  <c r="O570" i="5"/>
  <c r="N570" i="5"/>
  <c r="L570" i="5"/>
  <c r="M570" i="5" s="1"/>
  <c r="U569" i="5"/>
  <c r="S569" i="5"/>
  <c r="T569" i="5" s="1"/>
  <c r="Q569" i="5"/>
  <c r="P569" i="5"/>
  <c r="O569" i="5"/>
  <c r="M569" i="5"/>
  <c r="N569" i="5" s="1"/>
  <c r="L569" i="5"/>
  <c r="U568" i="5"/>
  <c r="S568" i="5"/>
  <c r="T568" i="5" s="1"/>
  <c r="Q568" i="5"/>
  <c r="P568" i="5"/>
  <c r="O568" i="5"/>
  <c r="L568" i="5"/>
  <c r="U567" i="5"/>
  <c r="S567" i="5"/>
  <c r="T567" i="5" s="1"/>
  <c r="Q567" i="5"/>
  <c r="P567" i="5"/>
  <c r="O567" i="5"/>
  <c r="L567" i="5"/>
  <c r="U566" i="5"/>
  <c r="S566" i="5"/>
  <c r="T566" i="5" s="1"/>
  <c r="Q566" i="5"/>
  <c r="P566" i="5"/>
  <c r="O566" i="5"/>
  <c r="L566" i="5"/>
  <c r="U565" i="5"/>
  <c r="S565" i="5"/>
  <c r="T565" i="5" s="1"/>
  <c r="Q565" i="5"/>
  <c r="P565" i="5"/>
  <c r="O565" i="5"/>
  <c r="L565" i="5"/>
  <c r="U564" i="5"/>
  <c r="S564" i="5"/>
  <c r="T564" i="5" s="1"/>
  <c r="Q564" i="5"/>
  <c r="P564" i="5"/>
  <c r="O564" i="5"/>
  <c r="L564" i="5"/>
  <c r="M564" i="5" s="1"/>
  <c r="U563" i="5"/>
  <c r="S563" i="5"/>
  <c r="T563" i="5" s="1"/>
  <c r="Q563" i="5"/>
  <c r="P563" i="5"/>
  <c r="O563" i="5"/>
  <c r="L563" i="5"/>
  <c r="M563" i="5" s="1"/>
  <c r="U562" i="5"/>
  <c r="S562" i="5"/>
  <c r="T562" i="5" s="1"/>
  <c r="Q562" i="5"/>
  <c r="P562" i="5"/>
  <c r="O562" i="5"/>
  <c r="L562" i="5"/>
  <c r="U561" i="5"/>
  <c r="S561" i="5"/>
  <c r="T561" i="5" s="1"/>
  <c r="Q561" i="5"/>
  <c r="P561" i="5"/>
  <c r="O561" i="5"/>
  <c r="L561" i="5"/>
  <c r="M561" i="5" s="1"/>
  <c r="U560" i="5"/>
  <c r="S560" i="5"/>
  <c r="T560" i="5" s="1"/>
  <c r="Q560" i="5"/>
  <c r="P560" i="5"/>
  <c r="O560" i="5"/>
  <c r="L560" i="5"/>
  <c r="M560" i="5" s="1"/>
  <c r="U559" i="5"/>
  <c r="S559" i="5"/>
  <c r="T559" i="5" s="1"/>
  <c r="Q559" i="5"/>
  <c r="P559" i="5"/>
  <c r="O559" i="5"/>
  <c r="L559" i="5"/>
  <c r="M559" i="5" s="1"/>
  <c r="N559" i="5" s="1"/>
  <c r="U558" i="5"/>
  <c r="S558" i="5"/>
  <c r="T558" i="5" s="1"/>
  <c r="Q558" i="5"/>
  <c r="P558" i="5"/>
  <c r="O558" i="5"/>
  <c r="L558" i="5"/>
  <c r="U557" i="5"/>
  <c r="S557" i="5"/>
  <c r="T557" i="5" s="1"/>
  <c r="Q557" i="5"/>
  <c r="P557" i="5"/>
  <c r="O557" i="5"/>
  <c r="L557" i="5"/>
  <c r="M557" i="5" s="1"/>
  <c r="U556" i="5"/>
  <c r="S556" i="5"/>
  <c r="T556" i="5" s="1"/>
  <c r="Q556" i="5"/>
  <c r="P556" i="5"/>
  <c r="O556" i="5"/>
  <c r="L556" i="5"/>
  <c r="M556" i="5" s="1"/>
  <c r="U555" i="5"/>
  <c r="S555" i="5"/>
  <c r="T555" i="5" s="1"/>
  <c r="Q555" i="5"/>
  <c r="P555" i="5"/>
  <c r="O555" i="5"/>
  <c r="L555" i="5"/>
  <c r="U554" i="5"/>
  <c r="S554" i="5"/>
  <c r="T554" i="5" s="1"/>
  <c r="Q554" i="5"/>
  <c r="P554" i="5"/>
  <c r="O554" i="5"/>
  <c r="L554" i="5"/>
  <c r="U553" i="5"/>
  <c r="S553" i="5"/>
  <c r="T553" i="5" s="1"/>
  <c r="Q553" i="5"/>
  <c r="P553" i="5"/>
  <c r="O553" i="5"/>
  <c r="L553" i="5"/>
  <c r="M553" i="5" s="1"/>
  <c r="N553" i="5" s="1"/>
  <c r="U552" i="5"/>
  <c r="S552" i="5"/>
  <c r="T552" i="5" s="1"/>
  <c r="Q552" i="5"/>
  <c r="P552" i="5"/>
  <c r="O552" i="5"/>
  <c r="L552" i="5"/>
  <c r="U551" i="5"/>
  <c r="S551" i="5"/>
  <c r="T551" i="5" s="1"/>
  <c r="Q551" i="5"/>
  <c r="P551" i="5"/>
  <c r="O551" i="5"/>
  <c r="N551" i="5"/>
  <c r="L551" i="5"/>
  <c r="M551" i="5" s="1"/>
  <c r="U550" i="5"/>
  <c r="S550" i="5"/>
  <c r="T550" i="5" s="1"/>
  <c r="Q550" i="5"/>
  <c r="P550" i="5"/>
  <c r="O550" i="5"/>
  <c r="L550" i="5"/>
  <c r="M550" i="5" s="1"/>
  <c r="N550" i="5" s="1"/>
  <c r="U549" i="5"/>
  <c r="S549" i="5"/>
  <c r="T549" i="5" s="1"/>
  <c r="Q549" i="5"/>
  <c r="P549" i="5"/>
  <c r="O549" i="5"/>
  <c r="N549" i="5"/>
  <c r="L549" i="5"/>
  <c r="M549" i="5" s="1"/>
  <c r="U548" i="5"/>
  <c r="S548" i="5"/>
  <c r="T548" i="5" s="1"/>
  <c r="Q548" i="5"/>
  <c r="P548" i="5"/>
  <c r="O548" i="5"/>
  <c r="L548" i="5"/>
  <c r="M548" i="5" s="1"/>
  <c r="N548" i="5" s="1"/>
  <c r="U547" i="5"/>
  <c r="S547" i="5"/>
  <c r="T547" i="5" s="1"/>
  <c r="Q547" i="5"/>
  <c r="P547" i="5"/>
  <c r="O547" i="5"/>
  <c r="L547" i="5"/>
  <c r="U546" i="5"/>
  <c r="S546" i="5"/>
  <c r="T546" i="5" s="1"/>
  <c r="Q546" i="5"/>
  <c r="P546" i="5"/>
  <c r="O546" i="5"/>
  <c r="L546" i="5"/>
  <c r="M546" i="5" s="1"/>
  <c r="N546" i="5" s="1"/>
  <c r="U545" i="5"/>
  <c r="S545" i="5"/>
  <c r="T545" i="5" s="1"/>
  <c r="Q545" i="5"/>
  <c r="P545" i="5"/>
  <c r="O545" i="5"/>
  <c r="L545" i="5"/>
  <c r="U544" i="5"/>
  <c r="S544" i="5"/>
  <c r="T544" i="5" s="1"/>
  <c r="Q544" i="5"/>
  <c r="P544" i="5"/>
  <c r="O544" i="5"/>
  <c r="L544" i="5"/>
  <c r="M544" i="5" s="1"/>
  <c r="N544" i="5" s="1"/>
  <c r="U543" i="5"/>
  <c r="S543" i="5"/>
  <c r="T543" i="5" s="1"/>
  <c r="Q543" i="5"/>
  <c r="P543" i="5"/>
  <c r="O543" i="5"/>
  <c r="L543" i="5"/>
  <c r="U542" i="5"/>
  <c r="S542" i="5"/>
  <c r="T542" i="5" s="1"/>
  <c r="Q542" i="5"/>
  <c r="P542" i="5"/>
  <c r="O542" i="5"/>
  <c r="L542" i="5"/>
  <c r="M542" i="5" s="1"/>
  <c r="N542" i="5" s="1"/>
  <c r="U541" i="5"/>
  <c r="S541" i="5"/>
  <c r="T541" i="5" s="1"/>
  <c r="Q541" i="5"/>
  <c r="P541" i="5"/>
  <c r="O541" i="5"/>
  <c r="L541" i="5"/>
  <c r="U540" i="5"/>
  <c r="S540" i="5"/>
  <c r="T540" i="5" s="1"/>
  <c r="Q540" i="5"/>
  <c r="P540" i="5"/>
  <c r="O540" i="5"/>
  <c r="L540" i="5"/>
  <c r="M540" i="5" s="1"/>
  <c r="N540" i="5" s="1"/>
  <c r="U539" i="5"/>
  <c r="S539" i="5"/>
  <c r="T539" i="5" s="1"/>
  <c r="Q539" i="5"/>
  <c r="P539" i="5"/>
  <c r="O539" i="5"/>
  <c r="N539" i="5"/>
  <c r="L539" i="5"/>
  <c r="M539" i="5" s="1"/>
  <c r="U538" i="5"/>
  <c r="S538" i="5"/>
  <c r="T538" i="5" s="1"/>
  <c r="Q538" i="5"/>
  <c r="P538" i="5"/>
  <c r="O538" i="5"/>
  <c r="L538" i="5"/>
  <c r="M538" i="5" s="1"/>
  <c r="N538" i="5" s="1"/>
  <c r="U537" i="5"/>
  <c r="S537" i="5"/>
  <c r="T537" i="5" s="1"/>
  <c r="Q537" i="5"/>
  <c r="P537" i="5"/>
  <c r="O537" i="5"/>
  <c r="N537" i="5"/>
  <c r="L537" i="5"/>
  <c r="M537" i="5" s="1"/>
  <c r="U536" i="5"/>
  <c r="S536" i="5"/>
  <c r="T536" i="5" s="1"/>
  <c r="Q536" i="5"/>
  <c r="P536" i="5"/>
  <c r="O536" i="5"/>
  <c r="L536" i="5"/>
  <c r="M536" i="5" s="1"/>
  <c r="N536" i="5" s="1"/>
  <c r="U535" i="5"/>
  <c r="T535" i="5"/>
  <c r="S535" i="5"/>
  <c r="Q535" i="5"/>
  <c r="P535" i="5"/>
  <c r="O535" i="5"/>
  <c r="N535" i="5"/>
  <c r="L535" i="5"/>
  <c r="M535" i="5" s="1"/>
  <c r="U534" i="5"/>
  <c r="S534" i="5"/>
  <c r="T534" i="5" s="1"/>
  <c r="Q534" i="5"/>
  <c r="P534" i="5"/>
  <c r="O534" i="5"/>
  <c r="L534" i="5"/>
  <c r="M534" i="5" s="1"/>
  <c r="N534" i="5" s="1"/>
  <c r="U533" i="5"/>
  <c r="T533" i="5"/>
  <c r="S533" i="5"/>
  <c r="Q533" i="5"/>
  <c r="P533" i="5"/>
  <c r="O533" i="5"/>
  <c r="L533" i="5"/>
  <c r="U532" i="5"/>
  <c r="S532" i="5"/>
  <c r="T532" i="5" s="1"/>
  <c r="Q532" i="5"/>
  <c r="P532" i="5"/>
  <c r="O532" i="5"/>
  <c r="L532" i="5"/>
  <c r="M532" i="5" s="1"/>
  <c r="N532" i="5" s="1"/>
  <c r="U531" i="5"/>
  <c r="S531" i="5"/>
  <c r="T531" i="5" s="1"/>
  <c r="Q531" i="5"/>
  <c r="P531" i="5"/>
  <c r="O531" i="5"/>
  <c r="N531" i="5"/>
  <c r="L531" i="5"/>
  <c r="M531" i="5" s="1"/>
  <c r="U530" i="5"/>
  <c r="S530" i="5"/>
  <c r="T530" i="5" s="1"/>
  <c r="Q530" i="5"/>
  <c r="P530" i="5"/>
  <c r="O530" i="5"/>
  <c r="L530" i="5"/>
  <c r="M530" i="5" s="1"/>
  <c r="U529" i="5"/>
  <c r="S529" i="5"/>
  <c r="T529" i="5" s="1"/>
  <c r="Q529" i="5"/>
  <c r="P529" i="5"/>
  <c r="O529" i="5"/>
  <c r="L529" i="5"/>
  <c r="U528" i="5"/>
  <c r="S528" i="5"/>
  <c r="T528" i="5" s="1"/>
  <c r="Q528" i="5"/>
  <c r="P528" i="5"/>
  <c r="O528" i="5"/>
  <c r="N528" i="5"/>
  <c r="L528" i="5"/>
  <c r="M528" i="5" s="1"/>
  <c r="U527" i="5"/>
  <c r="S527" i="5"/>
  <c r="T527" i="5" s="1"/>
  <c r="Q527" i="5"/>
  <c r="P527" i="5"/>
  <c r="O527" i="5"/>
  <c r="N527" i="5"/>
  <c r="L527" i="5"/>
  <c r="M527" i="5" s="1"/>
  <c r="U526" i="5"/>
  <c r="S526" i="5"/>
  <c r="T526" i="5" s="1"/>
  <c r="Q526" i="5"/>
  <c r="P526" i="5"/>
  <c r="O526" i="5"/>
  <c r="N526" i="5"/>
  <c r="L526" i="5"/>
  <c r="M526" i="5" s="1"/>
  <c r="U525" i="5"/>
  <c r="S525" i="5"/>
  <c r="T525" i="5" s="1"/>
  <c r="Q525" i="5"/>
  <c r="P525" i="5"/>
  <c r="O525" i="5"/>
  <c r="L525" i="5"/>
  <c r="M525" i="5" s="1"/>
  <c r="U524" i="5"/>
  <c r="S524" i="5"/>
  <c r="T524" i="5" s="1"/>
  <c r="Q524" i="5"/>
  <c r="P524" i="5"/>
  <c r="O524" i="5"/>
  <c r="L524" i="5"/>
  <c r="M524" i="5" s="1"/>
  <c r="N524" i="5" s="1"/>
  <c r="U523" i="5"/>
  <c r="S523" i="5"/>
  <c r="T523" i="5" s="1"/>
  <c r="Q523" i="5"/>
  <c r="P523" i="5"/>
  <c r="O523" i="5"/>
  <c r="L523" i="5"/>
  <c r="M523" i="5" s="1"/>
  <c r="U522" i="5"/>
  <c r="S522" i="5"/>
  <c r="T522" i="5" s="1"/>
  <c r="Q522" i="5"/>
  <c r="P522" i="5"/>
  <c r="O522" i="5"/>
  <c r="L522" i="5"/>
  <c r="M522" i="5" s="1"/>
  <c r="N522" i="5" s="1"/>
  <c r="U521" i="5"/>
  <c r="S521" i="5"/>
  <c r="T521" i="5" s="1"/>
  <c r="Q521" i="5"/>
  <c r="P521" i="5"/>
  <c r="O521" i="5"/>
  <c r="L521" i="5"/>
  <c r="M521" i="5" s="1"/>
  <c r="U520" i="5"/>
  <c r="S520" i="5"/>
  <c r="T520" i="5" s="1"/>
  <c r="Q520" i="5"/>
  <c r="P520" i="5"/>
  <c r="O520" i="5"/>
  <c r="L520" i="5"/>
  <c r="M520" i="5" s="1"/>
  <c r="N520" i="5" s="1"/>
  <c r="U519" i="5"/>
  <c r="S519" i="5"/>
  <c r="T519" i="5" s="1"/>
  <c r="Q519" i="5"/>
  <c r="P519" i="5"/>
  <c r="O519" i="5"/>
  <c r="L519" i="5"/>
  <c r="M519" i="5" s="1"/>
  <c r="U518" i="5"/>
  <c r="S518" i="5"/>
  <c r="T518" i="5" s="1"/>
  <c r="Q518" i="5"/>
  <c r="P518" i="5"/>
  <c r="O518" i="5"/>
  <c r="L518" i="5"/>
  <c r="M518" i="5" s="1"/>
  <c r="N518" i="5" s="1"/>
  <c r="U517" i="5"/>
  <c r="S517" i="5"/>
  <c r="T517" i="5" s="1"/>
  <c r="Q517" i="5"/>
  <c r="P517" i="5"/>
  <c r="O517" i="5"/>
  <c r="L517" i="5"/>
  <c r="M517" i="5" s="1"/>
  <c r="U516" i="5"/>
  <c r="S516" i="5"/>
  <c r="T516" i="5" s="1"/>
  <c r="Q516" i="5"/>
  <c r="P516" i="5"/>
  <c r="O516" i="5"/>
  <c r="L516" i="5"/>
  <c r="M516" i="5" s="1"/>
  <c r="N516" i="5" s="1"/>
  <c r="U515" i="5"/>
  <c r="S515" i="5"/>
  <c r="T515" i="5" s="1"/>
  <c r="Q515" i="5"/>
  <c r="P515" i="5"/>
  <c r="O515" i="5"/>
  <c r="L515" i="5"/>
  <c r="M515" i="5" s="1"/>
  <c r="U514" i="5"/>
  <c r="S514" i="5"/>
  <c r="T514" i="5" s="1"/>
  <c r="Q514" i="5"/>
  <c r="P514" i="5"/>
  <c r="O514" i="5"/>
  <c r="N514" i="5"/>
  <c r="L514" i="5"/>
  <c r="M514" i="5" s="1"/>
  <c r="U513" i="5"/>
  <c r="S513" i="5"/>
  <c r="T513" i="5" s="1"/>
  <c r="Q513" i="5"/>
  <c r="P513" i="5"/>
  <c r="O513" i="5"/>
  <c r="L513" i="5"/>
  <c r="M513" i="5" s="1"/>
  <c r="U512" i="5"/>
  <c r="S512" i="5"/>
  <c r="T512" i="5" s="1"/>
  <c r="Q512" i="5"/>
  <c r="P512" i="5"/>
  <c r="O512" i="5"/>
  <c r="L512" i="5"/>
  <c r="M512" i="5" s="1"/>
  <c r="N512" i="5" s="1"/>
  <c r="U511" i="5"/>
  <c r="S511" i="5"/>
  <c r="T511" i="5" s="1"/>
  <c r="Q511" i="5"/>
  <c r="P511" i="5"/>
  <c r="O511" i="5"/>
  <c r="L511" i="5"/>
  <c r="M511" i="5" s="1"/>
  <c r="U510" i="5"/>
  <c r="S510" i="5"/>
  <c r="T510" i="5" s="1"/>
  <c r="Q510" i="5"/>
  <c r="P510" i="5"/>
  <c r="O510" i="5"/>
  <c r="L510" i="5"/>
  <c r="M510" i="5" s="1"/>
  <c r="N510" i="5" s="1"/>
  <c r="U509" i="5"/>
  <c r="S509" i="5"/>
  <c r="T509" i="5" s="1"/>
  <c r="Q509" i="5"/>
  <c r="P509" i="5"/>
  <c r="O509" i="5"/>
  <c r="N509" i="5"/>
  <c r="L509" i="5"/>
  <c r="M509" i="5" s="1"/>
  <c r="U508" i="5"/>
  <c r="S508" i="5"/>
  <c r="T508" i="5" s="1"/>
  <c r="Q508" i="5"/>
  <c r="P508" i="5"/>
  <c r="O508" i="5"/>
  <c r="L508" i="5"/>
  <c r="M508" i="5" s="1"/>
  <c r="N508" i="5" s="1"/>
  <c r="U507" i="5"/>
  <c r="S507" i="5"/>
  <c r="T507" i="5" s="1"/>
  <c r="Q507" i="5"/>
  <c r="P507" i="5"/>
  <c r="O507" i="5"/>
  <c r="N507" i="5"/>
  <c r="L507" i="5"/>
  <c r="M507" i="5" s="1"/>
  <c r="U506" i="5"/>
  <c r="S506" i="5"/>
  <c r="T506" i="5" s="1"/>
  <c r="Q506" i="5"/>
  <c r="P506" i="5"/>
  <c r="O506" i="5"/>
  <c r="L506" i="5"/>
  <c r="M506" i="5" s="1"/>
  <c r="N506" i="5" s="1"/>
  <c r="U505" i="5"/>
  <c r="S505" i="5"/>
  <c r="T505" i="5" s="1"/>
  <c r="Q505" i="5"/>
  <c r="P505" i="5"/>
  <c r="O505" i="5"/>
  <c r="L505" i="5"/>
  <c r="M505" i="5" s="1"/>
  <c r="U504" i="5"/>
  <c r="S504" i="5"/>
  <c r="T504" i="5" s="1"/>
  <c r="Q504" i="5"/>
  <c r="P504" i="5"/>
  <c r="O504" i="5"/>
  <c r="L504" i="5"/>
  <c r="M504" i="5" s="1"/>
  <c r="N504" i="5" s="1"/>
  <c r="U503" i="5"/>
  <c r="S503" i="5"/>
  <c r="T503" i="5" s="1"/>
  <c r="Q503" i="5"/>
  <c r="P503" i="5"/>
  <c r="O503" i="5"/>
  <c r="L503" i="5"/>
  <c r="M503" i="5" s="1"/>
  <c r="U502" i="5"/>
  <c r="S502" i="5"/>
  <c r="T502" i="5" s="1"/>
  <c r="Q502" i="5"/>
  <c r="P502" i="5"/>
  <c r="O502" i="5"/>
  <c r="L502" i="5"/>
  <c r="M502" i="5" s="1"/>
  <c r="N502" i="5" s="1"/>
  <c r="U501" i="5"/>
  <c r="S501" i="5"/>
  <c r="T501" i="5" s="1"/>
  <c r="Q501" i="5"/>
  <c r="P501" i="5"/>
  <c r="O501" i="5"/>
  <c r="N501" i="5"/>
  <c r="L501" i="5"/>
  <c r="M501" i="5" s="1"/>
  <c r="U500" i="5"/>
  <c r="S500" i="5"/>
  <c r="T500" i="5" s="1"/>
  <c r="Q500" i="5"/>
  <c r="P500" i="5"/>
  <c r="O500" i="5"/>
  <c r="L500" i="5"/>
  <c r="M500" i="5" s="1"/>
  <c r="N500" i="5" s="1"/>
  <c r="U499" i="5"/>
  <c r="S499" i="5"/>
  <c r="T499" i="5" s="1"/>
  <c r="Q499" i="5"/>
  <c r="P499" i="5"/>
  <c r="O499" i="5"/>
  <c r="N499" i="5"/>
  <c r="L499" i="5"/>
  <c r="M499" i="5" s="1"/>
  <c r="U498" i="5"/>
  <c r="S498" i="5"/>
  <c r="T498" i="5" s="1"/>
  <c r="Q498" i="5"/>
  <c r="P498" i="5"/>
  <c r="O498" i="5"/>
  <c r="L498" i="5"/>
  <c r="M498" i="5" s="1"/>
  <c r="N498" i="5" s="1"/>
  <c r="U497" i="5"/>
  <c r="S497" i="5"/>
  <c r="T497" i="5" s="1"/>
  <c r="Q497" i="5"/>
  <c r="P497" i="5"/>
  <c r="O497" i="5"/>
  <c r="L497" i="5"/>
  <c r="M497" i="5" s="1"/>
  <c r="U496" i="5"/>
  <c r="S496" i="5"/>
  <c r="T496" i="5" s="1"/>
  <c r="Q496" i="5"/>
  <c r="P496" i="5"/>
  <c r="O496" i="5"/>
  <c r="L496" i="5"/>
  <c r="M496" i="5" s="1"/>
  <c r="N496" i="5" s="1"/>
  <c r="U495" i="5"/>
  <c r="S495" i="5"/>
  <c r="T495" i="5" s="1"/>
  <c r="Q495" i="5"/>
  <c r="P495" i="5"/>
  <c r="O495" i="5"/>
  <c r="L495" i="5"/>
  <c r="M495" i="5" s="1"/>
  <c r="U494" i="5"/>
  <c r="S494" i="5"/>
  <c r="T494" i="5" s="1"/>
  <c r="Q494" i="5"/>
  <c r="P494" i="5"/>
  <c r="O494" i="5"/>
  <c r="N494" i="5"/>
  <c r="L494" i="5"/>
  <c r="M494" i="5" s="1"/>
  <c r="U493" i="5"/>
  <c r="S493" i="5"/>
  <c r="T493" i="5" s="1"/>
  <c r="Q493" i="5"/>
  <c r="P493" i="5"/>
  <c r="O493" i="5"/>
  <c r="L493" i="5"/>
  <c r="M493" i="5" s="1"/>
  <c r="U492" i="5"/>
  <c r="S492" i="5"/>
  <c r="T492" i="5" s="1"/>
  <c r="Q492" i="5"/>
  <c r="P492" i="5"/>
  <c r="O492" i="5"/>
  <c r="L492" i="5"/>
  <c r="M492" i="5" s="1"/>
  <c r="N492" i="5" s="1"/>
  <c r="U491" i="5"/>
  <c r="S491" i="5"/>
  <c r="T491" i="5" s="1"/>
  <c r="Q491" i="5"/>
  <c r="P491" i="5"/>
  <c r="O491" i="5"/>
  <c r="L491" i="5"/>
  <c r="M491" i="5" s="1"/>
  <c r="U490" i="5"/>
  <c r="S490" i="5"/>
  <c r="T490" i="5" s="1"/>
  <c r="Q490" i="5"/>
  <c r="P490" i="5"/>
  <c r="O490" i="5"/>
  <c r="L490" i="5"/>
  <c r="M490" i="5" s="1"/>
  <c r="N490" i="5" s="1"/>
  <c r="U489" i="5"/>
  <c r="S489" i="5"/>
  <c r="T489" i="5" s="1"/>
  <c r="Q489" i="5"/>
  <c r="P489" i="5"/>
  <c r="O489" i="5"/>
  <c r="N489" i="5"/>
  <c r="L489" i="5"/>
  <c r="M489" i="5" s="1"/>
  <c r="U488" i="5"/>
  <c r="S488" i="5"/>
  <c r="T488" i="5" s="1"/>
  <c r="Q488" i="5"/>
  <c r="P488" i="5"/>
  <c r="O488" i="5"/>
  <c r="L488" i="5"/>
  <c r="M488" i="5" s="1"/>
  <c r="N488" i="5" s="1"/>
  <c r="U487" i="5"/>
  <c r="S487" i="5"/>
  <c r="T487" i="5" s="1"/>
  <c r="Q487" i="5"/>
  <c r="P487" i="5"/>
  <c r="O487" i="5"/>
  <c r="L487" i="5"/>
  <c r="M487" i="5" s="1"/>
  <c r="U486" i="5"/>
  <c r="S486" i="5"/>
  <c r="T486" i="5" s="1"/>
  <c r="Q486" i="5"/>
  <c r="P486" i="5"/>
  <c r="O486" i="5"/>
  <c r="L486" i="5"/>
  <c r="M486" i="5" s="1"/>
  <c r="N486" i="5" s="1"/>
  <c r="U485" i="5"/>
  <c r="S485" i="5"/>
  <c r="T485" i="5" s="1"/>
  <c r="Q485" i="5"/>
  <c r="P485" i="5"/>
  <c r="O485" i="5"/>
  <c r="L485" i="5"/>
  <c r="M485" i="5" s="1"/>
  <c r="U484" i="5"/>
  <c r="S484" i="5"/>
  <c r="T484" i="5" s="1"/>
  <c r="Q484" i="5"/>
  <c r="P484" i="5"/>
  <c r="O484" i="5"/>
  <c r="L484" i="5"/>
  <c r="M484" i="5" s="1"/>
  <c r="N484" i="5" s="1"/>
  <c r="U483" i="5"/>
  <c r="S483" i="5"/>
  <c r="T483" i="5" s="1"/>
  <c r="Q483" i="5"/>
  <c r="P483" i="5"/>
  <c r="O483" i="5"/>
  <c r="L483" i="5"/>
  <c r="M483" i="5" s="1"/>
  <c r="U482" i="5"/>
  <c r="S482" i="5"/>
  <c r="T482" i="5" s="1"/>
  <c r="Q482" i="5"/>
  <c r="P482" i="5"/>
  <c r="O482" i="5"/>
  <c r="L482" i="5"/>
  <c r="M482" i="5" s="1"/>
  <c r="N482" i="5" s="1"/>
  <c r="U481" i="5"/>
  <c r="S481" i="5"/>
  <c r="T481" i="5" s="1"/>
  <c r="Q481" i="5"/>
  <c r="P481" i="5"/>
  <c r="O481" i="5"/>
  <c r="N481" i="5"/>
  <c r="L481" i="5"/>
  <c r="M481" i="5" s="1"/>
  <c r="U480" i="5"/>
  <c r="S480" i="5"/>
  <c r="T480" i="5" s="1"/>
  <c r="Q480" i="5"/>
  <c r="P480" i="5"/>
  <c r="O480" i="5"/>
  <c r="L480" i="5"/>
  <c r="M480" i="5" s="1"/>
  <c r="N480" i="5" s="1"/>
  <c r="U479" i="5"/>
  <c r="S479" i="5"/>
  <c r="T479" i="5" s="1"/>
  <c r="Q479" i="5"/>
  <c r="P479" i="5"/>
  <c r="O479" i="5"/>
  <c r="L479" i="5"/>
  <c r="M479" i="5" s="1"/>
  <c r="U478" i="5"/>
  <c r="S478" i="5"/>
  <c r="T478" i="5" s="1"/>
  <c r="Q478" i="5"/>
  <c r="P478" i="5"/>
  <c r="O478" i="5"/>
  <c r="L478" i="5"/>
  <c r="M478" i="5" s="1"/>
  <c r="N478" i="5" s="1"/>
  <c r="U477" i="5"/>
  <c r="S477" i="5"/>
  <c r="T477" i="5" s="1"/>
  <c r="Q477" i="5"/>
  <c r="P477" i="5"/>
  <c r="O477" i="5"/>
  <c r="L477" i="5"/>
  <c r="U476" i="5"/>
  <c r="S476" i="5"/>
  <c r="T476" i="5" s="1"/>
  <c r="Q476" i="5"/>
  <c r="P476" i="5"/>
  <c r="O476" i="5"/>
  <c r="L476" i="5"/>
  <c r="M476" i="5" s="1"/>
  <c r="N476" i="5" s="1"/>
  <c r="U475" i="5"/>
  <c r="S475" i="5"/>
  <c r="T475" i="5" s="1"/>
  <c r="Q475" i="5"/>
  <c r="P475" i="5"/>
  <c r="O475" i="5"/>
  <c r="N475" i="5"/>
  <c r="L475" i="5"/>
  <c r="M475" i="5" s="1"/>
  <c r="U474" i="5"/>
  <c r="S474" i="5"/>
  <c r="T474" i="5" s="1"/>
  <c r="Q474" i="5"/>
  <c r="P474" i="5"/>
  <c r="O474" i="5"/>
  <c r="L474" i="5"/>
  <c r="M474" i="5" s="1"/>
  <c r="N474" i="5" s="1"/>
  <c r="U473" i="5"/>
  <c r="S473" i="5"/>
  <c r="T473" i="5" s="1"/>
  <c r="Q473" i="5"/>
  <c r="P473" i="5"/>
  <c r="O473" i="5"/>
  <c r="L473" i="5"/>
  <c r="M473" i="5" s="1"/>
  <c r="U472" i="5"/>
  <c r="S472" i="5"/>
  <c r="T472" i="5" s="1"/>
  <c r="Q472" i="5"/>
  <c r="P472" i="5"/>
  <c r="O472" i="5"/>
  <c r="L472" i="5"/>
  <c r="M472" i="5" s="1"/>
  <c r="N472" i="5" s="1"/>
  <c r="U471" i="5"/>
  <c r="S471" i="5"/>
  <c r="T471" i="5" s="1"/>
  <c r="Q471" i="5"/>
  <c r="P471" i="5"/>
  <c r="O471" i="5"/>
  <c r="N471" i="5"/>
  <c r="L471" i="5"/>
  <c r="M471" i="5" s="1"/>
  <c r="U470" i="5"/>
  <c r="S470" i="5"/>
  <c r="T470" i="5" s="1"/>
  <c r="Q470" i="5"/>
  <c r="P470" i="5"/>
  <c r="O470" i="5"/>
  <c r="L470" i="5"/>
  <c r="M470" i="5" s="1"/>
  <c r="N470" i="5" s="1"/>
  <c r="U469" i="5"/>
  <c r="S469" i="5"/>
  <c r="T469" i="5" s="1"/>
  <c r="Q469" i="5"/>
  <c r="P469" i="5"/>
  <c r="O469" i="5"/>
  <c r="L469" i="5"/>
  <c r="M469" i="5" s="1"/>
  <c r="U468" i="5"/>
  <c r="S468" i="5"/>
  <c r="T468" i="5" s="1"/>
  <c r="Q468" i="5"/>
  <c r="P468" i="5"/>
  <c r="O468" i="5"/>
  <c r="L468" i="5"/>
  <c r="M468" i="5" s="1"/>
  <c r="N468" i="5" s="1"/>
  <c r="U467" i="5"/>
  <c r="S467" i="5"/>
  <c r="T467" i="5" s="1"/>
  <c r="Q467" i="5"/>
  <c r="P467" i="5"/>
  <c r="O467" i="5"/>
  <c r="L467" i="5"/>
  <c r="U466" i="5"/>
  <c r="S466" i="5"/>
  <c r="T466" i="5" s="1"/>
  <c r="Q466" i="5"/>
  <c r="P466" i="5"/>
  <c r="O466" i="5"/>
  <c r="L466" i="5"/>
  <c r="M466" i="5" s="1"/>
  <c r="N466" i="5" s="1"/>
  <c r="U465" i="5"/>
  <c r="S465" i="5"/>
  <c r="T465" i="5" s="1"/>
  <c r="Q465" i="5"/>
  <c r="P465" i="5"/>
  <c r="O465" i="5"/>
  <c r="L465" i="5"/>
  <c r="M465" i="5" s="1"/>
  <c r="N465" i="5" s="1"/>
  <c r="U464" i="5"/>
  <c r="S464" i="5"/>
  <c r="T464" i="5" s="1"/>
  <c r="Q464" i="5"/>
  <c r="P464" i="5"/>
  <c r="O464" i="5"/>
  <c r="L464" i="5"/>
  <c r="M464" i="5" s="1"/>
  <c r="N464" i="5" s="1"/>
  <c r="U463" i="5"/>
  <c r="S463" i="5"/>
  <c r="T463" i="5" s="1"/>
  <c r="Q463" i="5"/>
  <c r="P463" i="5"/>
  <c r="O463" i="5"/>
  <c r="N463" i="5"/>
  <c r="L463" i="5"/>
  <c r="M463" i="5" s="1"/>
  <c r="U462" i="5"/>
  <c r="S462" i="5"/>
  <c r="T462" i="5" s="1"/>
  <c r="Q462" i="5"/>
  <c r="P462" i="5"/>
  <c r="O462" i="5"/>
  <c r="L462" i="5"/>
  <c r="M462" i="5" s="1"/>
  <c r="N462" i="5" s="1"/>
  <c r="U461" i="5"/>
  <c r="S461" i="5"/>
  <c r="T461" i="5" s="1"/>
  <c r="Q461" i="5"/>
  <c r="P461" i="5"/>
  <c r="O461" i="5"/>
  <c r="L461" i="5"/>
  <c r="M461" i="5" s="1"/>
  <c r="N461" i="5" s="1"/>
  <c r="U460" i="5"/>
  <c r="S460" i="5"/>
  <c r="T460" i="5" s="1"/>
  <c r="Q460" i="5"/>
  <c r="P460" i="5"/>
  <c r="O460" i="5"/>
  <c r="L460" i="5"/>
  <c r="M460" i="5" s="1"/>
  <c r="N460" i="5" s="1"/>
  <c r="U459" i="5"/>
  <c r="S459" i="5"/>
  <c r="T459" i="5" s="1"/>
  <c r="Q459" i="5"/>
  <c r="P459" i="5"/>
  <c r="O459" i="5"/>
  <c r="L459" i="5"/>
  <c r="M459" i="5" s="1"/>
  <c r="U458" i="5"/>
  <c r="S458" i="5"/>
  <c r="T458" i="5" s="1"/>
  <c r="Q458" i="5"/>
  <c r="P458" i="5"/>
  <c r="O458" i="5"/>
  <c r="L458" i="5"/>
  <c r="U457" i="5"/>
  <c r="S457" i="5"/>
  <c r="T457" i="5" s="1"/>
  <c r="Q457" i="5"/>
  <c r="P457" i="5"/>
  <c r="O457" i="5"/>
  <c r="L457" i="5"/>
  <c r="U456" i="5"/>
  <c r="S456" i="5"/>
  <c r="T456" i="5" s="1"/>
  <c r="Q456" i="5"/>
  <c r="P456" i="5"/>
  <c r="O456" i="5"/>
  <c r="L456" i="5"/>
  <c r="M456" i="5" s="1"/>
  <c r="U455" i="5"/>
  <c r="S455" i="5"/>
  <c r="T455" i="5" s="1"/>
  <c r="Q455" i="5"/>
  <c r="P455" i="5"/>
  <c r="O455" i="5"/>
  <c r="L455" i="5"/>
  <c r="U454" i="5"/>
  <c r="S454" i="5"/>
  <c r="T454" i="5" s="1"/>
  <c r="Q454" i="5"/>
  <c r="P454" i="5"/>
  <c r="O454" i="5"/>
  <c r="L454" i="5"/>
  <c r="M454" i="5" s="1"/>
  <c r="U453" i="5"/>
  <c r="S453" i="5"/>
  <c r="T453" i="5" s="1"/>
  <c r="Q453" i="5"/>
  <c r="P453" i="5"/>
  <c r="O453" i="5"/>
  <c r="N453" i="5"/>
  <c r="L453" i="5"/>
  <c r="M453" i="5" s="1"/>
  <c r="U452" i="5"/>
  <c r="S452" i="5"/>
  <c r="T452" i="5" s="1"/>
  <c r="Q452" i="5"/>
  <c r="P452" i="5"/>
  <c r="O452" i="5"/>
  <c r="L452" i="5"/>
  <c r="M452" i="5" s="1"/>
  <c r="U451" i="5"/>
  <c r="S451" i="5"/>
  <c r="T451" i="5" s="1"/>
  <c r="Q451" i="5"/>
  <c r="P451" i="5"/>
  <c r="O451" i="5"/>
  <c r="N451" i="5"/>
  <c r="L451" i="5"/>
  <c r="M451" i="5" s="1"/>
  <c r="U450" i="5"/>
  <c r="S450" i="5"/>
  <c r="T450" i="5" s="1"/>
  <c r="Q450" i="5"/>
  <c r="P450" i="5"/>
  <c r="O450" i="5"/>
  <c r="L450" i="5"/>
  <c r="M450" i="5" s="1"/>
  <c r="U449" i="5"/>
  <c r="S449" i="5"/>
  <c r="T449" i="5" s="1"/>
  <c r="Q449" i="5"/>
  <c r="P449" i="5"/>
  <c r="O449" i="5"/>
  <c r="L449" i="5"/>
  <c r="M449" i="5" s="1"/>
  <c r="N449" i="5" s="1"/>
  <c r="U448" i="5"/>
  <c r="S448" i="5"/>
  <c r="T448" i="5" s="1"/>
  <c r="Q448" i="5"/>
  <c r="P448" i="5"/>
  <c r="O448" i="5"/>
  <c r="L448" i="5"/>
  <c r="U447" i="5"/>
  <c r="S447" i="5"/>
  <c r="T447" i="5" s="1"/>
  <c r="Q447" i="5"/>
  <c r="P447" i="5"/>
  <c r="O447" i="5"/>
  <c r="L447" i="5"/>
  <c r="M447" i="5" s="1"/>
  <c r="N447" i="5" s="1"/>
  <c r="U446" i="5"/>
  <c r="S446" i="5"/>
  <c r="T446" i="5" s="1"/>
  <c r="Q446" i="5"/>
  <c r="P446" i="5"/>
  <c r="O446" i="5"/>
  <c r="L446" i="5"/>
  <c r="M446" i="5" s="1"/>
  <c r="U445" i="5"/>
  <c r="S445" i="5"/>
  <c r="T445" i="5" s="1"/>
  <c r="Q445" i="5"/>
  <c r="P445" i="5"/>
  <c r="O445" i="5"/>
  <c r="L445" i="5"/>
  <c r="M445" i="5" s="1"/>
  <c r="U444" i="5"/>
  <c r="S444" i="5"/>
  <c r="T444" i="5" s="1"/>
  <c r="Q444" i="5"/>
  <c r="P444" i="5"/>
  <c r="O444" i="5"/>
  <c r="L444" i="5"/>
  <c r="M444" i="5" s="1"/>
  <c r="U443" i="5"/>
  <c r="S443" i="5"/>
  <c r="T443" i="5" s="1"/>
  <c r="Q443" i="5"/>
  <c r="P443" i="5"/>
  <c r="O443" i="5"/>
  <c r="L443" i="5"/>
  <c r="M443" i="5" s="1"/>
  <c r="N443" i="5" s="1"/>
  <c r="U442" i="5"/>
  <c r="S442" i="5"/>
  <c r="T442" i="5" s="1"/>
  <c r="Q442" i="5"/>
  <c r="P442" i="5"/>
  <c r="O442" i="5"/>
  <c r="N442" i="5"/>
  <c r="L442" i="5"/>
  <c r="M442" i="5" s="1"/>
  <c r="U441" i="5"/>
  <c r="S441" i="5"/>
  <c r="T441" i="5" s="1"/>
  <c r="Q441" i="5"/>
  <c r="P441" i="5"/>
  <c r="O441" i="5"/>
  <c r="L441" i="5"/>
  <c r="M441" i="5" s="1"/>
  <c r="U440" i="5"/>
  <c r="S440" i="5"/>
  <c r="T440" i="5" s="1"/>
  <c r="Q440" i="5"/>
  <c r="P440" i="5"/>
  <c r="O440" i="5"/>
  <c r="L440" i="5"/>
  <c r="M440" i="5" s="1"/>
  <c r="U439" i="5"/>
  <c r="S439" i="5"/>
  <c r="T439" i="5" s="1"/>
  <c r="Q439" i="5"/>
  <c r="P439" i="5"/>
  <c r="O439" i="5"/>
  <c r="N439" i="5"/>
  <c r="L439" i="5"/>
  <c r="M439" i="5" s="1"/>
  <c r="U438" i="5"/>
  <c r="S438" i="5"/>
  <c r="T438" i="5" s="1"/>
  <c r="Q438" i="5"/>
  <c r="P438" i="5"/>
  <c r="O438" i="5"/>
  <c r="L438" i="5"/>
  <c r="M438" i="5" s="1"/>
  <c r="U437" i="5"/>
  <c r="S437" i="5"/>
  <c r="T437" i="5" s="1"/>
  <c r="Q437" i="5"/>
  <c r="P437" i="5"/>
  <c r="O437" i="5"/>
  <c r="L437" i="5"/>
  <c r="M437" i="5" s="1"/>
  <c r="U436" i="5"/>
  <c r="S436" i="5"/>
  <c r="T436" i="5" s="1"/>
  <c r="Q436" i="5"/>
  <c r="P436" i="5"/>
  <c r="O436" i="5"/>
  <c r="L436" i="5"/>
  <c r="M436" i="5" s="1"/>
  <c r="U435" i="5"/>
  <c r="S435" i="5"/>
  <c r="T435" i="5" s="1"/>
  <c r="Q435" i="5"/>
  <c r="P435" i="5"/>
  <c r="O435" i="5"/>
  <c r="N435" i="5"/>
  <c r="L435" i="5"/>
  <c r="M435" i="5" s="1"/>
  <c r="U434" i="5"/>
  <c r="S434" i="5"/>
  <c r="T434" i="5" s="1"/>
  <c r="Q434" i="5"/>
  <c r="P434" i="5"/>
  <c r="O434" i="5"/>
  <c r="L434" i="5"/>
  <c r="M434" i="5" s="1"/>
  <c r="U433" i="5"/>
  <c r="S433" i="5"/>
  <c r="T433" i="5" s="1"/>
  <c r="Q433" i="5"/>
  <c r="P433" i="5"/>
  <c r="O433" i="5"/>
  <c r="L433" i="5"/>
  <c r="U432" i="5"/>
  <c r="S432" i="5"/>
  <c r="T432" i="5" s="1"/>
  <c r="Q432" i="5"/>
  <c r="P432" i="5"/>
  <c r="O432" i="5"/>
  <c r="L432" i="5"/>
  <c r="U431" i="5"/>
  <c r="S431" i="5"/>
  <c r="T431" i="5" s="1"/>
  <c r="Q431" i="5"/>
  <c r="P431" i="5"/>
  <c r="O431" i="5"/>
  <c r="L431" i="5"/>
  <c r="M431" i="5" s="1"/>
  <c r="U430" i="5"/>
  <c r="S430" i="5"/>
  <c r="T430" i="5" s="1"/>
  <c r="Q430" i="5"/>
  <c r="P430" i="5"/>
  <c r="O430" i="5"/>
  <c r="L430" i="5"/>
  <c r="M430" i="5" s="1"/>
  <c r="U429" i="5"/>
  <c r="S429" i="5"/>
  <c r="T429" i="5" s="1"/>
  <c r="Q429" i="5"/>
  <c r="P429" i="5"/>
  <c r="O429" i="5"/>
  <c r="L429" i="5"/>
  <c r="U428" i="5"/>
  <c r="S428" i="5"/>
  <c r="T428" i="5" s="1"/>
  <c r="Q428" i="5"/>
  <c r="P428" i="5"/>
  <c r="O428" i="5"/>
  <c r="N428" i="5"/>
  <c r="L428" i="5"/>
  <c r="M428" i="5" s="1"/>
  <c r="U427" i="5"/>
  <c r="S427" i="5"/>
  <c r="T427" i="5" s="1"/>
  <c r="Q427" i="5"/>
  <c r="P427" i="5"/>
  <c r="O427" i="5"/>
  <c r="L427" i="5"/>
  <c r="U426" i="5"/>
  <c r="S426" i="5"/>
  <c r="T426" i="5" s="1"/>
  <c r="Q426" i="5"/>
  <c r="P426" i="5"/>
  <c r="O426" i="5"/>
  <c r="L426" i="5"/>
  <c r="M426" i="5" s="1"/>
  <c r="N426" i="5" s="1"/>
  <c r="U425" i="5"/>
  <c r="S425" i="5"/>
  <c r="T425" i="5" s="1"/>
  <c r="Q425" i="5"/>
  <c r="P425" i="5"/>
  <c r="O425" i="5"/>
  <c r="L425" i="5"/>
  <c r="M425" i="5" s="1"/>
  <c r="N425" i="5" s="1"/>
  <c r="U424" i="5"/>
  <c r="S424" i="5"/>
  <c r="T424" i="5" s="1"/>
  <c r="Q424" i="5"/>
  <c r="P424" i="5"/>
  <c r="O424" i="5"/>
  <c r="L424" i="5"/>
  <c r="M424" i="5" s="1"/>
  <c r="N424" i="5" s="1"/>
  <c r="U423" i="5"/>
  <c r="S423" i="5"/>
  <c r="T423" i="5" s="1"/>
  <c r="Q423" i="5"/>
  <c r="P423" i="5"/>
  <c r="O423" i="5"/>
  <c r="N423" i="5"/>
  <c r="L423" i="5"/>
  <c r="M423" i="5" s="1"/>
  <c r="U422" i="5"/>
  <c r="S422" i="5"/>
  <c r="T422" i="5" s="1"/>
  <c r="Q422" i="5"/>
  <c r="P422" i="5"/>
  <c r="O422" i="5"/>
  <c r="L422" i="5"/>
  <c r="M422" i="5" s="1"/>
  <c r="N422" i="5" s="1"/>
  <c r="U421" i="5"/>
  <c r="S421" i="5"/>
  <c r="T421" i="5" s="1"/>
  <c r="Q421" i="5"/>
  <c r="P421" i="5"/>
  <c r="O421" i="5"/>
  <c r="N421" i="5"/>
  <c r="L421" i="5"/>
  <c r="M421" i="5" s="1"/>
  <c r="U420" i="5"/>
  <c r="S420" i="5"/>
  <c r="T420" i="5" s="1"/>
  <c r="Q420" i="5"/>
  <c r="P420" i="5"/>
  <c r="O420" i="5"/>
  <c r="L420" i="5"/>
  <c r="M420" i="5" s="1"/>
  <c r="N420" i="5" s="1"/>
  <c r="U419" i="5"/>
  <c r="S419" i="5"/>
  <c r="T419" i="5" s="1"/>
  <c r="Q419" i="5"/>
  <c r="P419" i="5"/>
  <c r="O419" i="5"/>
  <c r="L419" i="5"/>
  <c r="M419" i="5" s="1"/>
  <c r="N419" i="5" s="1"/>
  <c r="U418" i="5"/>
  <c r="S418" i="5"/>
  <c r="T418" i="5" s="1"/>
  <c r="Q418" i="5"/>
  <c r="P418" i="5"/>
  <c r="O418" i="5"/>
  <c r="L418" i="5"/>
  <c r="M418" i="5" s="1"/>
  <c r="N418" i="5" s="1"/>
  <c r="U417" i="5"/>
  <c r="S417" i="5"/>
  <c r="T417" i="5" s="1"/>
  <c r="Q417" i="5"/>
  <c r="P417" i="5"/>
  <c r="O417" i="5"/>
  <c r="N417" i="5"/>
  <c r="L417" i="5"/>
  <c r="M417" i="5" s="1"/>
  <c r="U416" i="5"/>
  <c r="S416" i="5"/>
  <c r="T416" i="5" s="1"/>
  <c r="Q416" i="5"/>
  <c r="P416" i="5"/>
  <c r="O416" i="5"/>
  <c r="N416" i="5"/>
  <c r="L416" i="5"/>
  <c r="M416" i="5" s="1"/>
  <c r="U415" i="5"/>
  <c r="S415" i="5"/>
  <c r="T415" i="5" s="1"/>
  <c r="Q415" i="5"/>
  <c r="P415" i="5"/>
  <c r="O415" i="5"/>
  <c r="N415" i="5"/>
  <c r="L415" i="5"/>
  <c r="M415" i="5" s="1"/>
  <c r="U414" i="5"/>
  <c r="S414" i="5"/>
  <c r="T414" i="5" s="1"/>
  <c r="Q414" i="5"/>
  <c r="P414" i="5"/>
  <c r="O414" i="5"/>
  <c r="L414" i="5"/>
  <c r="M414" i="5" s="1"/>
  <c r="N414" i="5" s="1"/>
  <c r="U413" i="5"/>
  <c r="S413" i="5"/>
  <c r="T413" i="5" s="1"/>
  <c r="Q413" i="5"/>
  <c r="P413" i="5"/>
  <c r="O413" i="5"/>
  <c r="L413" i="5"/>
  <c r="U412" i="5"/>
  <c r="S412" i="5"/>
  <c r="T412" i="5" s="1"/>
  <c r="Q412" i="5"/>
  <c r="P412" i="5"/>
  <c r="O412" i="5"/>
  <c r="L412" i="5"/>
  <c r="M412" i="5" s="1"/>
  <c r="N412" i="5" s="1"/>
  <c r="U411" i="5"/>
  <c r="S411" i="5"/>
  <c r="T411" i="5" s="1"/>
  <c r="Q411" i="5"/>
  <c r="P411" i="5"/>
  <c r="O411" i="5"/>
  <c r="L411" i="5"/>
  <c r="M411" i="5" s="1"/>
  <c r="N411" i="5" s="1"/>
  <c r="U410" i="5"/>
  <c r="S410" i="5"/>
  <c r="T410" i="5" s="1"/>
  <c r="Q410" i="5"/>
  <c r="P410" i="5"/>
  <c r="O410" i="5"/>
  <c r="N410" i="5"/>
  <c r="L410" i="5"/>
  <c r="M410" i="5" s="1"/>
  <c r="U409" i="5"/>
  <c r="S409" i="5"/>
  <c r="T409" i="5" s="1"/>
  <c r="Q409" i="5"/>
  <c r="P409" i="5"/>
  <c r="O409" i="5"/>
  <c r="L409" i="5"/>
  <c r="M409" i="5" s="1"/>
  <c r="N409" i="5" s="1"/>
  <c r="U408" i="5"/>
  <c r="S408" i="5"/>
  <c r="T408" i="5" s="1"/>
  <c r="Q408" i="5"/>
  <c r="P408" i="5"/>
  <c r="O408" i="5"/>
  <c r="L408" i="5"/>
  <c r="M408" i="5" s="1"/>
  <c r="U407" i="5"/>
  <c r="S407" i="5"/>
  <c r="T407" i="5" s="1"/>
  <c r="Q407" i="5"/>
  <c r="P407" i="5"/>
  <c r="O407" i="5"/>
  <c r="L407" i="5"/>
  <c r="U406" i="5"/>
  <c r="S406" i="5"/>
  <c r="T406" i="5" s="1"/>
  <c r="Q406" i="5"/>
  <c r="P406" i="5"/>
  <c r="O406" i="5"/>
  <c r="L406" i="5"/>
  <c r="M406" i="5" s="1"/>
  <c r="N406" i="5" s="1"/>
  <c r="U405" i="5"/>
  <c r="S405" i="5"/>
  <c r="T405" i="5" s="1"/>
  <c r="Q405" i="5"/>
  <c r="P405" i="5"/>
  <c r="O405" i="5"/>
  <c r="N405" i="5"/>
  <c r="L405" i="5"/>
  <c r="M405" i="5" s="1"/>
  <c r="U404" i="5"/>
  <c r="T404" i="5"/>
  <c r="S404" i="5"/>
  <c r="Q404" i="5"/>
  <c r="P404" i="5"/>
  <c r="O404" i="5"/>
  <c r="L404" i="5"/>
  <c r="M404" i="5" s="1"/>
  <c r="N404" i="5" s="1"/>
  <c r="U403" i="5"/>
  <c r="S403" i="5"/>
  <c r="T403" i="5" s="1"/>
  <c r="Q403" i="5"/>
  <c r="P403" i="5"/>
  <c r="O403" i="5"/>
  <c r="L403" i="5"/>
  <c r="U402" i="5"/>
  <c r="S402" i="5"/>
  <c r="T402" i="5" s="1"/>
  <c r="Q402" i="5"/>
  <c r="P402" i="5"/>
  <c r="O402" i="5"/>
  <c r="L402" i="5"/>
  <c r="M402" i="5" s="1"/>
  <c r="N402" i="5" s="1"/>
  <c r="U401" i="5"/>
  <c r="T401" i="5"/>
  <c r="S401" i="5"/>
  <c r="Q401" i="5"/>
  <c r="P401" i="5"/>
  <c r="O401" i="5"/>
  <c r="L401" i="5"/>
  <c r="M401" i="5" s="1"/>
  <c r="N401" i="5" s="1"/>
  <c r="U400" i="5"/>
  <c r="S400" i="5"/>
  <c r="T400" i="5" s="1"/>
  <c r="Q400" i="5"/>
  <c r="P400" i="5"/>
  <c r="O400" i="5"/>
  <c r="L400" i="5"/>
  <c r="M400" i="5" s="1"/>
  <c r="N400" i="5" s="1"/>
  <c r="U399" i="5"/>
  <c r="S399" i="5"/>
  <c r="T399" i="5" s="1"/>
  <c r="Q399" i="5"/>
  <c r="P399" i="5"/>
  <c r="O399" i="5"/>
  <c r="N399" i="5"/>
  <c r="L399" i="5"/>
  <c r="M399" i="5" s="1"/>
  <c r="U398" i="5"/>
  <c r="T398" i="5"/>
  <c r="S398" i="5"/>
  <c r="Q398" i="5"/>
  <c r="P398" i="5"/>
  <c r="O398" i="5"/>
  <c r="L398" i="5"/>
  <c r="U397" i="5"/>
  <c r="S397" i="5"/>
  <c r="T397" i="5" s="1"/>
  <c r="Q397" i="5"/>
  <c r="P397" i="5"/>
  <c r="O397" i="5"/>
  <c r="L397" i="5"/>
  <c r="M397" i="5" s="1"/>
  <c r="N397" i="5" s="1"/>
  <c r="U396" i="5"/>
  <c r="S396" i="5"/>
  <c r="T396" i="5" s="1"/>
  <c r="Q396" i="5"/>
  <c r="P396" i="5"/>
  <c r="O396" i="5"/>
  <c r="L396" i="5"/>
  <c r="U395" i="5"/>
  <c r="S395" i="5"/>
  <c r="T395" i="5" s="1"/>
  <c r="Q395" i="5"/>
  <c r="P395" i="5"/>
  <c r="O395" i="5"/>
  <c r="L395" i="5"/>
  <c r="M395" i="5" s="1"/>
  <c r="U394" i="5"/>
  <c r="S394" i="5"/>
  <c r="T394" i="5" s="1"/>
  <c r="Q394" i="5"/>
  <c r="P394" i="5"/>
  <c r="O394" i="5"/>
  <c r="L394" i="5"/>
  <c r="U393" i="5"/>
  <c r="S393" i="5"/>
  <c r="T393" i="5" s="1"/>
  <c r="Q393" i="5"/>
  <c r="P393" i="5"/>
  <c r="O393" i="5"/>
  <c r="L393" i="5"/>
  <c r="U392" i="5"/>
  <c r="S392" i="5"/>
  <c r="T392" i="5" s="1"/>
  <c r="Q392" i="5"/>
  <c r="P392" i="5"/>
  <c r="O392" i="5"/>
  <c r="L392" i="5"/>
  <c r="U391" i="5"/>
  <c r="S391" i="5"/>
  <c r="T391" i="5" s="1"/>
  <c r="Q391" i="5"/>
  <c r="P391" i="5"/>
  <c r="O391" i="5"/>
  <c r="L391" i="5"/>
  <c r="M391" i="5" s="1"/>
  <c r="N391" i="5" s="1"/>
  <c r="U390" i="5"/>
  <c r="S390" i="5"/>
  <c r="T390" i="5" s="1"/>
  <c r="Q390" i="5"/>
  <c r="P390" i="5"/>
  <c r="O390" i="5"/>
  <c r="L390" i="5"/>
  <c r="U389" i="5"/>
  <c r="S389" i="5"/>
  <c r="T389" i="5" s="1"/>
  <c r="Q389" i="5"/>
  <c r="P389" i="5"/>
  <c r="O389" i="5"/>
  <c r="L389" i="5"/>
  <c r="U388" i="5"/>
  <c r="S388" i="5"/>
  <c r="T388" i="5" s="1"/>
  <c r="Q388" i="5"/>
  <c r="P388" i="5"/>
  <c r="O388" i="5"/>
  <c r="L388" i="5"/>
  <c r="M388" i="5" s="1"/>
  <c r="U387" i="5"/>
  <c r="S387" i="5"/>
  <c r="T387" i="5" s="1"/>
  <c r="Q387" i="5"/>
  <c r="P387" i="5"/>
  <c r="O387" i="5"/>
  <c r="L387" i="5"/>
  <c r="M387" i="5" s="1"/>
  <c r="N387" i="5" s="1"/>
  <c r="U386" i="5"/>
  <c r="S386" i="5"/>
  <c r="T386" i="5" s="1"/>
  <c r="Q386" i="5"/>
  <c r="P386" i="5"/>
  <c r="O386" i="5"/>
  <c r="L386" i="5"/>
  <c r="M386" i="5" s="1"/>
  <c r="U385" i="5"/>
  <c r="S385" i="5"/>
  <c r="T385" i="5" s="1"/>
  <c r="Q385" i="5"/>
  <c r="P385" i="5"/>
  <c r="O385" i="5"/>
  <c r="L385" i="5"/>
  <c r="M385" i="5" s="1"/>
  <c r="N385" i="5" s="1"/>
  <c r="U384" i="5"/>
  <c r="S384" i="5"/>
  <c r="T384" i="5" s="1"/>
  <c r="Q384" i="5"/>
  <c r="P384" i="5"/>
  <c r="O384" i="5"/>
  <c r="L384" i="5"/>
  <c r="M384" i="5" s="1"/>
  <c r="U383" i="5"/>
  <c r="S383" i="5"/>
  <c r="T383" i="5" s="1"/>
  <c r="Q383" i="5"/>
  <c r="P383" i="5"/>
  <c r="O383" i="5"/>
  <c r="L383" i="5"/>
  <c r="M383" i="5" s="1"/>
  <c r="N383" i="5" s="1"/>
  <c r="U382" i="5"/>
  <c r="S382" i="5"/>
  <c r="T382" i="5" s="1"/>
  <c r="Q382" i="5"/>
  <c r="P382" i="5"/>
  <c r="O382" i="5"/>
  <c r="L382" i="5"/>
  <c r="M382" i="5" s="1"/>
  <c r="U381" i="5"/>
  <c r="S381" i="5"/>
  <c r="T381" i="5" s="1"/>
  <c r="Q381" i="5"/>
  <c r="P381" i="5"/>
  <c r="O381" i="5"/>
  <c r="L381" i="5"/>
  <c r="M381" i="5" s="1"/>
  <c r="N381" i="5" s="1"/>
  <c r="U380" i="5"/>
  <c r="S380" i="5"/>
  <c r="T380" i="5" s="1"/>
  <c r="Q380" i="5"/>
  <c r="P380" i="5"/>
  <c r="O380" i="5"/>
  <c r="N380" i="5"/>
  <c r="L380" i="5"/>
  <c r="M380" i="5" s="1"/>
  <c r="U379" i="5"/>
  <c r="S379" i="5"/>
  <c r="T379" i="5" s="1"/>
  <c r="Q379" i="5"/>
  <c r="P379" i="5"/>
  <c r="O379" i="5"/>
  <c r="L379" i="5"/>
  <c r="M379" i="5" s="1"/>
  <c r="U378" i="5"/>
  <c r="S378" i="5"/>
  <c r="T378" i="5" s="1"/>
  <c r="Q378" i="5"/>
  <c r="P378" i="5"/>
  <c r="O378" i="5"/>
  <c r="L378" i="5"/>
  <c r="U377" i="5"/>
  <c r="S377" i="5"/>
  <c r="T377" i="5" s="1"/>
  <c r="Q377" i="5"/>
  <c r="P377" i="5"/>
  <c r="O377" i="5"/>
  <c r="L377" i="5"/>
  <c r="M377" i="5" s="1"/>
  <c r="U376" i="5"/>
  <c r="S376" i="5"/>
  <c r="T376" i="5" s="1"/>
  <c r="Q376" i="5"/>
  <c r="P376" i="5"/>
  <c r="O376" i="5"/>
  <c r="L376" i="5"/>
  <c r="U375" i="5"/>
  <c r="S375" i="5"/>
  <c r="T375" i="5" s="1"/>
  <c r="Q375" i="5"/>
  <c r="P375" i="5"/>
  <c r="O375" i="5"/>
  <c r="L375" i="5"/>
  <c r="M375" i="5" s="1"/>
  <c r="U374" i="5"/>
  <c r="S374" i="5"/>
  <c r="T374" i="5" s="1"/>
  <c r="Q374" i="5"/>
  <c r="P374" i="5"/>
  <c r="O374" i="5"/>
  <c r="L374" i="5"/>
  <c r="M374" i="5" s="1"/>
  <c r="U373" i="5"/>
  <c r="S373" i="5"/>
  <c r="T373" i="5" s="1"/>
  <c r="Q373" i="5"/>
  <c r="P373" i="5"/>
  <c r="O373" i="5"/>
  <c r="L373" i="5"/>
  <c r="M373" i="5" s="1"/>
  <c r="N373" i="5" s="1"/>
  <c r="U372" i="5"/>
  <c r="S372" i="5"/>
  <c r="T372" i="5" s="1"/>
  <c r="Q372" i="5"/>
  <c r="P372" i="5"/>
  <c r="O372" i="5"/>
  <c r="L372" i="5"/>
  <c r="M372" i="5" s="1"/>
  <c r="U371" i="5"/>
  <c r="S371" i="5"/>
  <c r="T371" i="5" s="1"/>
  <c r="Q371" i="5"/>
  <c r="P371" i="5"/>
  <c r="O371" i="5"/>
  <c r="L371" i="5"/>
  <c r="U370" i="5"/>
  <c r="S370" i="5"/>
  <c r="T370" i="5" s="1"/>
  <c r="Q370" i="5"/>
  <c r="P370" i="5"/>
  <c r="O370" i="5"/>
  <c r="N370" i="5"/>
  <c r="L370" i="5"/>
  <c r="M370" i="5" s="1"/>
  <c r="U369" i="5"/>
  <c r="S369" i="5"/>
  <c r="T369" i="5" s="1"/>
  <c r="Q369" i="5"/>
  <c r="P369" i="5"/>
  <c r="O369" i="5"/>
  <c r="L369" i="5"/>
  <c r="U368" i="5"/>
  <c r="S368" i="5"/>
  <c r="T368" i="5" s="1"/>
  <c r="Q368" i="5"/>
  <c r="P368" i="5"/>
  <c r="O368" i="5"/>
  <c r="L368" i="5"/>
  <c r="M368" i="5" s="1"/>
  <c r="U367" i="5"/>
  <c r="S367" i="5"/>
  <c r="T367" i="5" s="1"/>
  <c r="Q367" i="5"/>
  <c r="P367" i="5"/>
  <c r="O367" i="5"/>
  <c r="L367" i="5"/>
  <c r="U366" i="5"/>
  <c r="S366" i="5"/>
  <c r="T366" i="5" s="1"/>
  <c r="Q366" i="5"/>
  <c r="P366" i="5"/>
  <c r="O366" i="5"/>
  <c r="L366" i="5"/>
  <c r="U365" i="5"/>
  <c r="T365" i="5"/>
  <c r="S365" i="5"/>
  <c r="Q365" i="5"/>
  <c r="P365" i="5"/>
  <c r="O365" i="5"/>
  <c r="L365" i="5"/>
  <c r="U364" i="5"/>
  <c r="S364" i="5"/>
  <c r="T364" i="5" s="1"/>
  <c r="Q364" i="5"/>
  <c r="P364" i="5"/>
  <c r="O364" i="5"/>
  <c r="L364" i="5"/>
  <c r="U363" i="5"/>
  <c r="S363" i="5"/>
  <c r="T363" i="5" s="1"/>
  <c r="Q363" i="5"/>
  <c r="P363" i="5"/>
  <c r="O363" i="5"/>
  <c r="L363" i="5"/>
  <c r="U362" i="5"/>
  <c r="S362" i="5"/>
  <c r="T362" i="5" s="1"/>
  <c r="Q362" i="5"/>
  <c r="P362" i="5"/>
  <c r="O362" i="5"/>
  <c r="L362" i="5"/>
  <c r="U361" i="5"/>
  <c r="S361" i="5"/>
  <c r="T361" i="5" s="1"/>
  <c r="Q361" i="5"/>
  <c r="P361" i="5"/>
  <c r="O361" i="5"/>
  <c r="N361" i="5"/>
  <c r="L361" i="5"/>
  <c r="M361" i="5" s="1"/>
  <c r="U360" i="5"/>
  <c r="S360" i="5"/>
  <c r="T360" i="5" s="1"/>
  <c r="Q360" i="5"/>
  <c r="P360" i="5"/>
  <c r="O360" i="5"/>
  <c r="N360" i="5"/>
  <c r="L360" i="5"/>
  <c r="M360" i="5" s="1"/>
  <c r="U359" i="5"/>
  <c r="S359" i="5"/>
  <c r="T359" i="5" s="1"/>
  <c r="Q359" i="5"/>
  <c r="P359" i="5"/>
  <c r="O359" i="5"/>
  <c r="N359" i="5"/>
  <c r="L359" i="5"/>
  <c r="M359" i="5" s="1"/>
  <c r="U358" i="5"/>
  <c r="S358" i="5"/>
  <c r="T358" i="5" s="1"/>
  <c r="Q358" i="5"/>
  <c r="P358" i="5"/>
  <c r="O358" i="5"/>
  <c r="L358" i="5"/>
  <c r="U357" i="5"/>
  <c r="S357" i="5"/>
  <c r="T357" i="5" s="1"/>
  <c r="Q357" i="5"/>
  <c r="P357" i="5"/>
  <c r="O357" i="5"/>
  <c r="L357" i="5"/>
  <c r="U356" i="5"/>
  <c r="S356" i="5"/>
  <c r="T356" i="5" s="1"/>
  <c r="Q356" i="5"/>
  <c r="P356" i="5"/>
  <c r="O356" i="5"/>
  <c r="L356" i="5"/>
  <c r="U355" i="5"/>
  <c r="S355" i="5"/>
  <c r="T355" i="5" s="1"/>
  <c r="Q355" i="5"/>
  <c r="P355" i="5"/>
  <c r="O355" i="5"/>
  <c r="L355" i="5"/>
  <c r="M355" i="5" s="1"/>
  <c r="N355" i="5" s="1"/>
  <c r="U354" i="5"/>
  <c r="S354" i="5"/>
  <c r="T354" i="5" s="1"/>
  <c r="Q354" i="5"/>
  <c r="P354" i="5"/>
  <c r="O354" i="5"/>
  <c r="L354" i="5"/>
  <c r="M354" i="5" s="1"/>
  <c r="U353" i="5"/>
  <c r="S353" i="5"/>
  <c r="T353" i="5" s="1"/>
  <c r="Q353" i="5"/>
  <c r="P353" i="5"/>
  <c r="O353" i="5"/>
  <c r="L353" i="5"/>
  <c r="U352" i="5"/>
  <c r="S352" i="5"/>
  <c r="T352" i="5" s="1"/>
  <c r="Q352" i="5"/>
  <c r="P352" i="5"/>
  <c r="O352" i="5"/>
  <c r="L352" i="5"/>
  <c r="M352" i="5" s="1"/>
  <c r="U351" i="5"/>
  <c r="S351" i="5"/>
  <c r="T351" i="5" s="1"/>
  <c r="Q351" i="5"/>
  <c r="P351" i="5"/>
  <c r="O351" i="5"/>
  <c r="L351" i="5"/>
  <c r="U350" i="5"/>
  <c r="S350" i="5"/>
  <c r="T350" i="5" s="1"/>
  <c r="Q350" i="5"/>
  <c r="P350" i="5"/>
  <c r="O350" i="5"/>
  <c r="L350" i="5"/>
  <c r="U349" i="5"/>
  <c r="S349" i="5"/>
  <c r="T349" i="5" s="1"/>
  <c r="Q349" i="5"/>
  <c r="P349" i="5"/>
  <c r="O349" i="5"/>
  <c r="L349" i="5"/>
  <c r="U348" i="5"/>
  <c r="S348" i="5"/>
  <c r="T348" i="5" s="1"/>
  <c r="Q348" i="5"/>
  <c r="P348" i="5"/>
  <c r="O348" i="5"/>
  <c r="L348" i="5"/>
  <c r="M348" i="5" s="1"/>
  <c r="U347" i="5"/>
  <c r="S347" i="5"/>
  <c r="T347" i="5" s="1"/>
  <c r="Q347" i="5"/>
  <c r="P347" i="5"/>
  <c r="O347" i="5"/>
  <c r="N347" i="5"/>
  <c r="L347" i="5"/>
  <c r="M347" i="5" s="1"/>
  <c r="U346" i="5"/>
  <c r="S346" i="5"/>
  <c r="T346" i="5" s="1"/>
  <c r="Q346" i="5"/>
  <c r="P346" i="5"/>
  <c r="O346" i="5"/>
  <c r="N346" i="5"/>
  <c r="L346" i="5"/>
  <c r="M346" i="5" s="1"/>
  <c r="U345" i="5"/>
  <c r="S345" i="5"/>
  <c r="T345" i="5" s="1"/>
  <c r="Q345" i="5"/>
  <c r="P345" i="5"/>
  <c r="O345" i="5"/>
  <c r="L345" i="5"/>
  <c r="M345" i="5" s="1"/>
  <c r="U344" i="5"/>
  <c r="S344" i="5"/>
  <c r="T344" i="5" s="1"/>
  <c r="Q344" i="5"/>
  <c r="P344" i="5"/>
  <c r="O344" i="5"/>
  <c r="L344" i="5"/>
  <c r="U343" i="5"/>
  <c r="S343" i="5"/>
  <c r="T343" i="5" s="1"/>
  <c r="Q343" i="5"/>
  <c r="P343" i="5"/>
  <c r="O343" i="5"/>
  <c r="L343" i="5"/>
  <c r="M343" i="5" s="1"/>
  <c r="U342" i="5"/>
  <c r="S342" i="5"/>
  <c r="T342" i="5" s="1"/>
  <c r="Q342" i="5"/>
  <c r="P342" i="5"/>
  <c r="O342" i="5"/>
  <c r="N342" i="5"/>
  <c r="L342" i="5"/>
  <c r="M342" i="5" s="1"/>
  <c r="U341" i="5"/>
  <c r="S341" i="5"/>
  <c r="T341" i="5" s="1"/>
  <c r="Q341" i="5"/>
  <c r="P341" i="5"/>
  <c r="O341" i="5"/>
  <c r="N341" i="5"/>
  <c r="L341" i="5"/>
  <c r="M341" i="5" s="1"/>
  <c r="U340" i="5"/>
  <c r="S340" i="5"/>
  <c r="T340" i="5" s="1"/>
  <c r="Q340" i="5"/>
  <c r="P340" i="5"/>
  <c r="O340" i="5"/>
  <c r="L340" i="5"/>
  <c r="U339" i="5"/>
  <c r="S339" i="5"/>
  <c r="T339" i="5" s="1"/>
  <c r="Q339" i="5"/>
  <c r="P339" i="5"/>
  <c r="O339" i="5"/>
  <c r="L339" i="5"/>
  <c r="M339" i="5" s="1"/>
  <c r="N339" i="5" s="1"/>
  <c r="U338" i="5"/>
  <c r="S338" i="5"/>
  <c r="T338" i="5" s="1"/>
  <c r="Q338" i="5"/>
  <c r="P338" i="5"/>
  <c r="O338" i="5"/>
  <c r="L338" i="5"/>
  <c r="U337" i="5"/>
  <c r="S337" i="5"/>
  <c r="T337" i="5" s="1"/>
  <c r="Q337" i="5"/>
  <c r="P337" i="5"/>
  <c r="O337" i="5"/>
  <c r="L337" i="5"/>
  <c r="U336" i="5"/>
  <c r="S336" i="5"/>
  <c r="T336" i="5" s="1"/>
  <c r="Q336" i="5"/>
  <c r="P336" i="5"/>
  <c r="O336" i="5"/>
  <c r="L336" i="5"/>
  <c r="M336" i="5" s="1"/>
  <c r="U335" i="5"/>
  <c r="S335" i="5"/>
  <c r="T335" i="5" s="1"/>
  <c r="Q335" i="5"/>
  <c r="P335" i="5"/>
  <c r="O335" i="5"/>
  <c r="L335" i="5"/>
  <c r="U334" i="5"/>
  <c r="S334" i="5"/>
  <c r="T334" i="5" s="1"/>
  <c r="Q334" i="5"/>
  <c r="P334" i="5"/>
  <c r="O334" i="5"/>
  <c r="N334" i="5"/>
  <c r="L334" i="5"/>
  <c r="M334" i="5" s="1"/>
  <c r="U333" i="5"/>
  <c r="S333" i="5"/>
  <c r="T333" i="5" s="1"/>
  <c r="Q333" i="5"/>
  <c r="P333" i="5"/>
  <c r="O333" i="5"/>
  <c r="L333" i="5"/>
  <c r="M333" i="5" s="1"/>
  <c r="N333" i="5" s="1"/>
  <c r="U332" i="5"/>
  <c r="S332" i="5"/>
  <c r="T332" i="5" s="1"/>
  <c r="Q332" i="5"/>
  <c r="P332" i="5"/>
  <c r="O332" i="5"/>
  <c r="L332" i="5"/>
  <c r="U331" i="5"/>
  <c r="S331" i="5"/>
  <c r="T331" i="5" s="1"/>
  <c r="Q331" i="5"/>
  <c r="P331" i="5"/>
  <c r="O331" i="5"/>
  <c r="L331" i="5"/>
  <c r="U330" i="5"/>
  <c r="S330" i="5"/>
  <c r="T330" i="5" s="1"/>
  <c r="Q330" i="5"/>
  <c r="P330" i="5"/>
  <c r="O330" i="5"/>
  <c r="L330" i="5"/>
  <c r="M330" i="5" s="1"/>
  <c r="U329" i="5"/>
  <c r="S329" i="5"/>
  <c r="T329" i="5" s="1"/>
  <c r="Q329" i="5"/>
  <c r="P329" i="5"/>
  <c r="O329" i="5"/>
  <c r="L329" i="5"/>
  <c r="U328" i="5"/>
  <c r="S328" i="5"/>
  <c r="T328" i="5" s="1"/>
  <c r="Q328" i="5"/>
  <c r="P328" i="5"/>
  <c r="O328" i="5"/>
  <c r="L328" i="5"/>
  <c r="U327" i="5"/>
  <c r="T327" i="5"/>
  <c r="S327" i="5"/>
  <c r="Q327" i="5"/>
  <c r="P327" i="5"/>
  <c r="O327" i="5"/>
  <c r="L327" i="5"/>
  <c r="M327" i="5" s="1"/>
  <c r="N327" i="5" s="1"/>
  <c r="U326" i="5"/>
  <c r="S326" i="5"/>
  <c r="T326" i="5" s="1"/>
  <c r="Q326" i="5"/>
  <c r="P326" i="5"/>
  <c r="O326" i="5"/>
  <c r="L326" i="5"/>
  <c r="M326" i="5" s="1"/>
  <c r="U325" i="5"/>
  <c r="S325" i="5"/>
  <c r="T325" i="5" s="1"/>
  <c r="Q325" i="5"/>
  <c r="P325" i="5"/>
  <c r="O325" i="5"/>
  <c r="L325" i="5"/>
  <c r="U324" i="5"/>
  <c r="S324" i="5"/>
  <c r="T324" i="5" s="1"/>
  <c r="Q324" i="5"/>
  <c r="P324" i="5"/>
  <c r="O324" i="5"/>
  <c r="L324" i="5"/>
  <c r="U323" i="5"/>
  <c r="S323" i="5"/>
  <c r="T323" i="5" s="1"/>
  <c r="Q323" i="5"/>
  <c r="P323" i="5"/>
  <c r="O323" i="5"/>
  <c r="N323" i="5"/>
  <c r="L323" i="5"/>
  <c r="M323" i="5" s="1"/>
  <c r="U322" i="5"/>
  <c r="S322" i="5"/>
  <c r="T322" i="5" s="1"/>
  <c r="Q322" i="5"/>
  <c r="P322" i="5"/>
  <c r="O322" i="5"/>
  <c r="L322" i="5"/>
  <c r="U321" i="5"/>
  <c r="S321" i="5"/>
  <c r="T321" i="5" s="1"/>
  <c r="Q321" i="5"/>
  <c r="P321" i="5"/>
  <c r="O321" i="5"/>
  <c r="M321" i="5"/>
  <c r="N321" i="5" s="1"/>
  <c r="L321" i="5"/>
  <c r="U320" i="5"/>
  <c r="S320" i="5"/>
  <c r="T320" i="5" s="1"/>
  <c r="Q320" i="5"/>
  <c r="P320" i="5"/>
  <c r="O320" i="5"/>
  <c r="L320" i="5"/>
  <c r="U319" i="5"/>
  <c r="S319" i="5"/>
  <c r="T319" i="5" s="1"/>
  <c r="Q319" i="5"/>
  <c r="P319" i="5"/>
  <c r="O319" i="5"/>
  <c r="L319" i="5"/>
  <c r="U318" i="5"/>
  <c r="S318" i="5"/>
  <c r="T318" i="5" s="1"/>
  <c r="Q318" i="5"/>
  <c r="P318" i="5"/>
  <c r="O318" i="5"/>
  <c r="N318" i="5"/>
  <c r="L318" i="5"/>
  <c r="M318" i="5" s="1"/>
  <c r="U317" i="5"/>
  <c r="S317" i="5"/>
  <c r="T317" i="5" s="1"/>
  <c r="Q317" i="5"/>
  <c r="P317" i="5"/>
  <c r="O317" i="5"/>
  <c r="L317" i="5"/>
  <c r="M317" i="5" s="1"/>
  <c r="U316" i="5"/>
  <c r="S316" i="5"/>
  <c r="T316" i="5" s="1"/>
  <c r="Q316" i="5"/>
  <c r="P316" i="5"/>
  <c r="O316" i="5"/>
  <c r="L316" i="5"/>
  <c r="U315" i="5"/>
  <c r="S315" i="5"/>
  <c r="T315" i="5" s="1"/>
  <c r="Q315" i="5"/>
  <c r="P315" i="5"/>
  <c r="O315" i="5"/>
  <c r="L315" i="5"/>
  <c r="U314" i="5"/>
  <c r="S314" i="5"/>
  <c r="T314" i="5" s="1"/>
  <c r="Q314" i="5"/>
  <c r="P314" i="5"/>
  <c r="O314" i="5"/>
  <c r="L314" i="5"/>
  <c r="U313" i="5"/>
  <c r="S313" i="5"/>
  <c r="T313" i="5" s="1"/>
  <c r="Q313" i="5"/>
  <c r="P313" i="5"/>
  <c r="O313" i="5"/>
  <c r="L313" i="5"/>
  <c r="U312" i="5"/>
  <c r="S312" i="5"/>
  <c r="T312" i="5" s="1"/>
  <c r="Q312" i="5"/>
  <c r="P312" i="5"/>
  <c r="O312" i="5"/>
  <c r="L312" i="5"/>
  <c r="M312" i="5" s="1"/>
  <c r="U311" i="5"/>
  <c r="S311" i="5"/>
  <c r="T311" i="5" s="1"/>
  <c r="Q311" i="5"/>
  <c r="P311" i="5"/>
  <c r="O311" i="5"/>
  <c r="L311" i="5"/>
  <c r="M311" i="5" s="1"/>
  <c r="U310" i="5"/>
  <c r="S310" i="5"/>
  <c r="T310" i="5" s="1"/>
  <c r="Q310" i="5"/>
  <c r="P310" i="5"/>
  <c r="O310" i="5"/>
  <c r="L310" i="5"/>
  <c r="U309" i="5"/>
  <c r="S309" i="5"/>
  <c r="T309" i="5" s="1"/>
  <c r="Q309" i="5"/>
  <c r="P309" i="5"/>
  <c r="O309" i="5"/>
  <c r="L309" i="5"/>
  <c r="U308" i="5"/>
  <c r="S308" i="5"/>
  <c r="T308" i="5" s="1"/>
  <c r="Q308" i="5"/>
  <c r="P308" i="5"/>
  <c r="O308" i="5"/>
  <c r="N308" i="5"/>
  <c r="L308" i="5"/>
  <c r="M308" i="5" s="1"/>
  <c r="U307" i="5"/>
  <c r="S307" i="5"/>
  <c r="T307" i="5" s="1"/>
  <c r="Q307" i="5"/>
  <c r="P307" i="5"/>
  <c r="O307" i="5"/>
  <c r="L307" i="5"/>
  <c r="U306" i="5"/>
  <c r="S306" i="5"/>
  <c r="T306" i="5" s="1"/>
  <c r="Q306" i="5"/>
  <c r="P306" i="5"/>
  <c r="O306" i="5"/>
  <c r="L306" i="5"/>
  <c r="M306" i="5" s="1"/>
  <c r="U305" i="5"/>
  <c r="S305" i="5"/>
  <c r="T305" i="5" s="1"/>
  <c r="Q305" i="5"/>
  <c r="P305" i="5"/>
  <c r="O305" i="5"/>
  <c r="L305" i="5"/>
  <c r="M305" i="5" s="1"/>
  <c r="U304" i="5"/>
  <c r="S304" i="5"/>
  <c r="T304" i="5" s="1"/>
  <c r="Q304" i="5"/>
  <c r="P304" i="5"/>
  <c r="O304" i="5"/>
  <c r="L304" i="5"/>
  <c r="U303" i="5"/>
  <c r="S303" i="5"/>
  <c r="T303" i="5" s="1"/>
  <c r="Q303" i="5"/>
  <c r="P303" i="5"/>
  <c r="O303" i="5"/>
  <c r="L303" i="5"/>
  <c r="M303" i="5" s="1"/>
  <c r="N303" i="5" s="1"/>
  <c r="U302" i="5"/>
  <c r="S302" i="5"/>
  <c r="T302" i="5" s="1"/>
  <c r="Q302" i="5"/>
  <c r="P302" i="5"/>
  <c r="O302" i="5"/>
  <c r="L302" i="5"/>
  <c r="M302" i="5" s="1"/>
  <c r="U301" i="5"/>
  <c r="S301" i="5"/>
  <c r="T301" i="5" s="1"/>
  <c r="Q301" i="5"/>
  <c r="P301" i="5"/>
  <c r="O301" i="5"/>
  <c r="L301" i="5"/>
  <c r="U300" i="5"/>
  <c r="S300" i="5"/>
  <c r="T300" i="5" s="1"/>
  <c r="Q300" i="5"/>
  <c r="P300" i="5"/>
  <c r="O300" i="5"/>
  <c r="L300" i="5"/>
  <c r="M300" i="5" s="1"/>
  <c r="U299" i="5"/>
  <c r="S299" i="5"/>
  <c r="T299" i="5" s="1"/>
  <c r="Q299" i="5"/>
  <c r="P299" i="5"/>
  <c r="O299" i="5"/>
  <c r="L299" i="5"/>
  <c r="M299" i="5" s="1"/>
  <c r="U298" i="5"/>
  <c r="S298" i="5"/>
  <c r="T298" i="5" s="1"/>
  <c r="Q298" i="5"/>
  <c r="P298" i="5"/>
  <c r="O298" i="5"/>
  <c r="L298" i="5"/>
  <c r="M298" i="5" s="1"/>
  <c r="U297" i="5"/>
  <c r="S297" i="5"/>
  <c r="T297" i="5" s="1"/>
  <c r="Q297" i="5"/>
  <c r="P297" i="5"/>
  <c r="O297" i="5"/>
  <c r="L297" i="5"/>
  <c r="M297" i="5" s="1"/>
  <c r="U296" i="5"/>
  <c r="S296" i="5"/>
  <c r="T296" i="5" s="1"/>
  <c r="Q296" i="5"/>
  <c r="P296" i="5"/>
  <c r="O296" i="5"/>
  <c r="L296" i="5"/>
  <c r="M296" i="5" s="1"/>
  <c r="U295" i="5"/>
  <c r="S295" i="5"/>
  <c r="T295" i="5" s="1"/>
  <c r="Q295" i="5"/>
  <c r="P295" i="5"/>
  <c r="O295" i="5"/>
  <c r="L295" i="5"/>
  <c r="M295" i="5" s="1"/>
  <c r="U294" i="5"/>
  <c r="S294" i="5"/>
  <c r="T294" i="5" s="1"/>
  <c r="Q294" i="5"/>
  <c r="P294" i="5"/>
  <c r="O294" i="5"/>
  <c r="L294" i="5"/>
  <c r="U293" i="5"/>
  <c r="S293" i="5"/>
  <c r="T293" i="5" s="1"/>
  <c r="Q293" i="5"/>
  <c r="P293" i="5"/>
  <c r="O293" i="5"/>
  <c r="L293" i="5"/>
  <c r="M293" i="5" s="1"/>
  <c r="N293" i="5" s="1"/>
  <c r="U292" i="5"/>
  <c r="S292" i="5"/>
  <c r="T292" i="5" s="1"/>
  <c r="Q292" i="5"/>
  <c r="P292" i="5"/>
  <c r="O292" i="5"/>
  <c r="L292" i="5"/>
  <c r="U291" i="5"/>
  <c r="S291" i="5"/>
  <c r="T291" i="5" s="1"/>
  <c r="Q291" i="5"/>
  <c r="P291" i="5"/>
  <c r="O291" i="5"/>
  <c r="L291" i="5"/>
  <c r="M291" i="5" s="1"/>
  <c r="U290" i="5"/>
  <c r="S290" i="5"/>
  <c r="T290" i="5" s="1"/>
  <c r="Q290" i="5"/>
  <c r="P290" i="5"/>
  <c r="O290" i="5"/>
  <c r="L290" i="5"/>
  <c r="M290" i="5" s="1"/>
  <c r="U289" i="5"/>
  <c r="S289" i="5"/>
  <c r="T289" i="5" s="1"/>
  <c r="Q289" i="5"/>
  <c r="P289" i="5"/>
  <c r="O289" i="5"/>
  <c r="N289" i="5"/>
  <c r="L289" i="5"/>
  <c r="M289" i="5" s="1"/>
  <c r="U288" i="5"/>
  <c r="S288" i="5"/>
  <c r="T288" i="5" s="1"/>
  <c r="Q288" i="5"/>
  <c r="P288" i="5"/>
  <c r="O288" i="5"/>
  <c r="N288" i="5"/>
  <c r="L288" i="5"/>
  <c r="M288" i="5" s="1"/>
  <c r="U287" i="5"/>
  <c r="S287" i="5"/>
  <c r="T287" i="5" s="1"/>
  <c r="Q287" i="5"/>
  <c r="P287" i="5"/>
  <c r="O287" i="5"/>
  <c r="L287" i="5"/>
  <c r="M287" i="5" s="1"/>
  <c r="N287" i="5" s="1"/>
  <c r="U286" i="5"/>
  <c r="T286" i="5"/>
  <c r="S286" i="5"/>
  <c r="Q286" i="5"/>
  <c r="P286" i="5"/>
  <c r="O286" i="5"/>
  <c r="N286" i="5"/>
  <c r="L286" i="5"/>
  <c r="M286" i="5" s="1"/>
  <c r="U285" i="5"/>
  <c r="T285" i="5"/>
  <c r="S285" i="5"/>
  <c r="Q285" i="5"/>
  <c r="P285" i="5"/>
  <c r="O285" i="5"/>
  <c r="L285" i="5"/>
  <c r="M285" i="5" s="1"/>
  <c r="N285" i="5" s="1"/>
  <c r="U284" i="5"/>
  <c r="S284" i="5"/>
  <c r="T284" i="5" s="1"/>
  <c r="Q284" i="5"/>
  <c r="P284" i="5"/>
  <c r="O284" i="5"/>
  <c r="L284" i="5"/>
  <c r="U283" i="5"/>
  <c r="S283" i="5"/>
  <c r="T283" i="5" s="1"/>
  <c r="Q283" i="5"/>
  <c r="P283" i="5"/>
  <c r="O283" i="5"/>
  <c r="L283" i="5"/>
  <c r="U282" i="5"/>
  <c r="S282" i="5"/>
  <c r="T282" i="5" s="1"/>
  <c r="Q282" i="5"/>
  <c r="P282" i="5"/>
  <c r="O282" i="5"/>
  <c r="L282" i="5"/>
  <c r="U281" i="5"/>
  <c r="S281" i="5"/>
  <c r="T281" i="5" s="1"/>
  <c r="Q281" i="5"/>
  <c r="P281" i="5"/>
  <c r="O281" i="5"/>
  <c r="N281" i="5"/>
  <c r="L281" i="5"/>
  <c r="M281" i="5" s="1"/>
  <c r="U280" i="5"/>
  <c r="S280" i="5"/>
  <c r="T280" i="5" s="1"/>
  <c r="Q280" i="5"/>
  <c r="P280" i="5"/>
  <c r="O280" i="5"/>
  <c r="L280" i="5"/>
  <c r="U279" i="5"/>
  <c r="S279" i="5"/>
  <c r="T279" i="5" s="1"/>
  <c r="Q279" i="5"/>
  <c r="P279" i="5"/>
  <c r="O279" i="5"/>
  <c r="L279" i="5"/>
  <c r="U278" i="5"/>
  <c r="S278" i="5"/>
  <c r="T278" i="5" s="1"/>
  <c r="Q278" i="5"/>
  <c r="P278" i="5"/>
  <c r="O278" i="5"/>
  <c r="L278" i="5"/>
  <c r="M278" i="5" s="1"/>
  <c r="N278" i="5" s="1"/>
  <c r="U277" i="5"/>
  <c r="S277" i="5"/>
  <c r="T277" i="5" s="1"/>
  <c r="Q277" i="5"/>
  <c r="P277" i="5"/>
  <c r="O277" i="5"/>
  <c r="L277" i="5"/>
  <c r="U276" i="5"/>
  <c r="S276" i="5"/>
  <c r="T276" i="5" s="1"/>
  <c r="Q276" i="5"/>
  <c r="P276" i="5"/>
  <c r="O276" i="5"/>
  <c r="L276" i="5"/>
  <c r="M276" i="5" s="1"/>
  <c r="N276" i="5" s="1"/>
  <c r="U275" i="5"/>
  <c r="S275" i="5"/>
  <c r="T275" i="5" s="1"/>
  <c r="Q275" i="5"/>
  <c r="P275" i="5"/>
  <c r="O275" i="5"/>
  <c r="L275" i="5"/>
  <c r="M275" i="5" s="1"/>
  <c r="U274" i="5"/>
  <c r="S274" i="5"/>
  <c r="T274" i="5" s="1"/>
  <c r="Q274" i="5"/>
  <c r="P274" i="5"/>
  <c r="O274" i="5"/>
  <c r="L274" i="5"/>
  <c r="U273" i="5"/>
  <c r="S273" i="5"/>
  <c r="T273" i="5" s="1"/>
  <c r="Q273" i="5"/>
  <c r="P273" i="5"/>
  <c r="O273" i="5"/>
  <c r="L273" i="5"/>
  <c r="M273" i="5" s="1"/>
  <c r="U272" i="5"/>
  <c r="S272" i="5"/>
  <c r="T272" i="5" s="1"/>
  <c r="Q272" i="5"/>
  <c r="P272" i="5"/>
  <c r="O272" i="5"/>
  <c r="L272" i="5"/>
  <c r="M272" i="5" s="1"/>
  <c r="U271" i="5"/>
  <c r="S271" i="5"/>
  <c r="T271" i="5" s="1"/>
  <c r="Q271" i="5"/>
  <c r="P271" i="5"/>
  <c r="O271" i="5"/>
  <c r="L271" i="5"/>
  <c r="M271" i="5" s="1"/>
  <c r="U270" i="5"/>
  <c r="S270" i="5"/>
  <c r="T270" i="5" s="1"/>
  <c r="Q270" i="5"/>
  <c r="P270" i="5"/>
  <c r="O270" i="5"/>
  <c r="L270" i="5"/>
  <c r="U269" i="5"/>
  <c r="S269" i="5"/>
  <c r="T269" i="5" s="1"/>
  <c r="Q269" i="5"/>
  <c r="P269" i="5"/>
  <c r="O269" i="5"/>
  <c r="N269" i="5"/>
  <c r="L269" i="5"/>
  <c r="M269" i="5" s="1"/>
  <c r="U268" i="5"/>
  <c r="S268" i="5"/>
  <c r="T268" i="5" s="1"/>
  <c r="Q268" i="5"/>
  <c r="P268" i="5"/>
  <c r="O268" i="5"/>
  <c r="L268" i="5"/>
  <c r="U267" i="5"/>
  <c r="S267" i="5"/>
  <c r="T267" i="5" s="1"/>
  <c r="Q267" i="5"/>
  <c r="P267" i="5"/>
  <c r="O267" i="5"/>
  <c r="L267" i="5"/>
  <c r="M267" i="5" s="1"/>
  <c r="U266" i="5"/>
  <c r="S266" i="5"/>
  <c r="T266" i="5" s="1"/>
  <c r="Q266" i="5"/>
  <c r="P266" i="5"/>
  <c r="O266" i="5"/>
  <c r="L266" i="5"/>
  <c r="U265" i="5"/>
  <c r="S265" i="5"/>
  <c r="T265" i="5" s="1"/>
  <c r="Q265" i="5"/>
  <c r="P265" i="5"/>
  <c r="O265" i="5"/>
  <c r="L265" i="5"/>
  <c r="M265" i="5" s="1"/>
  <c r="N265" i="5" s="1"/>
  <c r="U264" i="5"/>
  <c r="S264" i="5"/>
  <c r="T264" i="5" s="1"/>
  <c r="Q264" i="5"/>
  <c r="P264" i="5"/>
  <c r="O264" i="5"/>
  <c r="L264" i="5"/>
  <c r="M264" i="5" s="1"/>
  <c r="U263" i="5"/>
  <c r="S263" i="5"/>
  <c r="T263" i="5" s="1"/>
  <c r="Q263" i="5"/>
  <c r="P263" i="5"/>
  <c r="O263" i="5"/>
  <c r="L263" i="5"/>
  <c r="M263" i="5" s="1"/>
  <c r="N263" i="5" s="1"/>
  <c r="U262" i="5"/>
  <c r="S262" i="5"/>
  <c r="T262" i="5" s="1"/>
  <c r="Q262" i="5"/>
  <c r="P262" i="5"/>
  <c r="O262" i="5"/>
  <c r="L262" i="5"/>
  <c r="M262" i="5" s="1"/>
  <c r="U261" i="5"/>
  <c r="S261" i="5"/>
  <c r="T261" i="5" s="1"/>
  <c r="Q261" i="5"/>
  <c r="P261" i="5"/>
  <c r="O261" i="5"/>
  <c r="L261" i="5"/>
  <c r="M261" i="5" s="1"/>
  <c r="N261" i="5" s="1"/>
  <c r="U260" i="5"/>
  <c r="S260" i="5"/>
  <c r="T260" i="5" s="1"/>
  <c r="Q260" i="5"/>
  <c r="P260" i="5"/>
  <c r="O260" i="5"/>
  <c r="N260" i="5"/>
  <c r="L260" i="5"/>
  <c r="M260" i="5" s="1"/>
  <c r="U259" i="5"/>
  <c r="S259" i="5"/>
  <c r="T259" i="5" s="1"/>
  <c r="Q259" i="5"/>
  <c r="P259" i="5"/>
  <c r="O259" i="5"/>
  <c r="N259" i="5"/>
  <c r="L259" i="5"/>
  <c r="M259" i="5" s="1"/>
  <c r="U258" i="5"/>
  <c r="S258" i="5"/>
  <c r="T258" i="5" s="1"/>
  <c r="Q258" i="5"/>
  <c r="P258" i="5"/>
  <c r="O258" i="5"/>
  <c r="L258" i="5"/>
  <c r="U257" i="5"/>
  <c r="S257" i="5"/>
  <c r="T257" i="5" s="1"/>
  <c r="Q257" i="5"/>
  <c r="P257" i="5"/>
  <c r="O257" i="5"/>
  <c r="L257" i="5"/>
  <c r="M257" i="5" s="1"/>
  <c r="N257" i="5" s="1"/>
  <c r="U256" i="5"/>
  <c r="S256" i="5"/>
  <c r="T256" i="5" s="1"/>
  <c r="Q256" i="5"/>
  <c r="P256" i="5"/>
  <c r="O256" i="5"/>
  <c r="L256" i="5"/>
  <c r="M256" i="5" s="1"/>
  <c r="N256" i="5" s="1"/>
  <c r="U255" i="5"/>
  <c r="S255" i="5"/>
  <c r="T255" i="5" s="1"/>
  <c r="Q255" i="5"/>
  <c r="P255" i="5"/>
  <c r="O255" i="5"/>
  <c r="N255" i="5"/>
  <c r="L255" i="5"/>
  <c r="M255" i="5" s="1"/>
  <c r="U254" i="5"/>
  <c r="S254" i="5"/>
  <c r="T254" i="5" s="1"/>
  <c r="Q254" i="5"/>
  <c r="P254" i="5"/>
  <c r="O254" i="5"/>
  <c r="L254" i="5"/>
  <c r="M254" i="5" s="1"/>
  <c r="U253" i="5"/>
  <c r="S253" i="5"/>
  <c r="T253" i="5" s="1"/>
  <c r="Q253" i="5"/>
  <c r="P253" i="5"/>
  <c r="O253" i="5"/>
  <c r="L253" i="5"/>
  <c r="U252" i="5"/>
  <c r="S252" i="5"/>
  <c r="T252" i="5" s="1"/>
  <c r="Q252" i="5"/>
  <c r="P252" i="5"/>
  <c r="O252" i="5"/>
  <c r="L252" i="5"/>
  <c r="U251" i="5"/>
  <c r="S251" i="5"/>
  <c r="T251" i="5" s="1"/>
  <c r="Q251" i="5"/>
  <c r="P251" i="5"/>
  <c r="O251" i="5"/>
  <c r="L251" i="5"/>
  <c r="M251" i="5" s="1"/>
  <c r="N251" i="5" s="1"/>
  <c r="U250" i="5"/>
  <c r="T250" i="5"/>
  <c r="S250" i="5"/>
  <c r="Q250" i="5"/>
  <c r="P250" i="5"/>
  <c r="O250" i="5"/>
  <c r="L250" i="5"/>
  <c r="M250" i="5" s="1"/>
  <c r="N250" i="5" s="1"/>
  <c r="U249" i="5"/>
  <c r="S249" i="5"/>
  <c r="T249" i="5" s="1"/>
  <c r="Q249" i="5"/>
  <c r="P249" i="5"/>
  <c r="O249" i="5"/>
  <c r="L249" i="5"/>
  <c r="M249" i="5" s="1"/>
  <c r="N249" i="5" s="1"/>
  <c r="U248" i="5"/>
  <c r="S248" i="5"/>
  <c r="T248" i="5" s="1"/>
  <c r="Q248" i="5"/>
  <c r="P248" i="5"/>
  <c r="O248" i="5"/>
  <c r="N248" i="5"/>
  <c r="L248" i="5"/>
  <c r="M248" i="5" s="1"/>
  <c r="U247" i="5"/>
  <c r="S247" i="5"/>
  <c r="T247" i="5" s="1"/>
  <c r="Q247" i="5"/>
  <c r="P247" i="5"/>
  <c r="O247" i="5"/>
  <c r="L247" i="5"/>
  <c r="M247" i="5" s="1"/>
  <c r="N247" i="5" s="1"/>
  <c r="U246" i="5"/>
  <c r="S246" i="5"/>
  <c r="T246" i="5" s="1"/>
  <c r="Q246" i="5"/>
  <c r="P246" i="5"/>
  <c r="O246" i="5"/>
  <c r="L246" i="5"/>
  <c r="U245" i="5"/>
  <c r="S245" i="5"/>
  <c r="T245" i="5" s="1"/>
  <c r="Q245" i="5"/>
  <c r="P245" i="5"/>
  <c r="O245" i="5"/>
  <c r="N245" i="5"/>
  <c r="L245" i="5"/>
  <c r="M245" i="5" s="1"/>
  <c r="U244" i="5"/>
  <c r="S244" i="5"/>
  <c r="T244" i="5" s="1"/>
  <c r="Q244" i="5"/>
  <c r="P244" i="5"/>
  <c r="O244" i="5"/>
  <c r="L244" i="5"/>
  <c r="M244" i="5" s="1"/>
  <c r="N244" i="5" s="1"/>
  <c r="U243" i="5"/>
  <c r="S243" i="5"/>
  <c r="T243" i="5" s="1"/>
  <c r="Q243" i="5"/>
  <c r="P243" i="5"/>
  <c r="O243" i="5"/>
  <c r="L243" i="5"/>
  <c r="M243" i="5" s="1"/>
  <c r="U242" i="5"/>
  <c r="S242" i="5"/>
  <c r="T242" i="5" s="1"/>
  <c r="Q242" i="5"/>
  <c r="P242" i="5"/>
  <c r="O242" i="5"/>
  <c r="L242" i="5"/>
  <c r="M242" i="5" s="1"/>
  <c r="U241" i="5"/>
  <c r="S241" i="5"/>
  <c r="T241" i="5" s="1"/>
  <c r="Q241" i="5"/>
  <c r="P241" i="5"/>
  <c r="O241" i="5"/>
  <c r="L241" i="5"/>
  <c r="M241" i="5" s="1"/>
  <c r="U240" i="5"/>
  <c r="S240" i="5"/>
  <c r="T240" i="5" s="1"/>
  <c r="Q240" i="5"/>
  <c r="P240" i="5"/>
  <c r="O240" i="5"/>
  <c r="L240" i="5"/>
  <c r="M240" i="5" s="1"/>
  <c r="U239" i="5"/>
  <c r="S239" i="5"/>
  <c r="T239" i="5" s="1"/>
  <c r="Q239" i="5"/>
  <c r="P239" i="5"/>
  <c r="O239" i="5"/>
  <c r="L239" i="5"/>
  <c r="M239" i="5" s="1"/>
  <c r="U238" i="5"/>
  <c r="S238" i="5"/>
  <c r="T238" i="5" s="1"/>
  <c r="Q238" i="5"/>
  <c r="P238" i="5"/>
  <c r="O238" i="5"/>
  <c r="L238" i="5"/>
  <c r="M238" i="5" s="1"/>
  <c r="N238" i="5" s="1"/>
  <c r="U237" i="5"/>
  <c r="S237" i="5"/>
  <c r="T237" i="5" s="1"/>
  <c r="Q237" i="5"/>
  <c r="P237" i="5"/>
  <c r="O237" i="5"/>
  <c r="N237" i="5"/>
  <c r="L237" i="5"/>
  <c r="M237" i="5" s="1"/>
  <c r="U236" i="5"/>
  <c r="S236" i="5"/>
  <c r="T236" i="5" s="1"/>
  <c r="Q236" i="5"/>
  <c r="P236" i="5"/>
  <c r="O236" i="5"/>
  <c r="L236" i="5"/>
  <c r="M236" i="5" s="1"/>
  <c r="N236" i="5" s="1"/>
  <c r="U235" i="5"/>
  <c r="S235" i="5"/>
  <c r="T235" i="5" s="1"/>
  <c r="Q235" i="5"/>
  <c r="P235" i="5"/>
  <c r="O235" i="5"/>
  <c r="L235" i="5"/>
  <c r="U234" i="5"/>
  <c r="S234" i="5"/>
  <c r="T234" i="5" s="1"/>
  <c r="Q234" i="5"/>
  <c r="P234" i="5"/>
  <c r="O234" i="5"/>
  <c r="L234" i="5"/>
  <c r="M234" i="5" s="1"/>
  <c r="U233" i="5"/>
  <c r="S233" i="5"/>
  <c r="T233" i="5" s="1"/>
  <c r="Q233" i="5"/>
  <c r="P233" i="5"/>
  <c r="O233" i="5"/>
  <c r="L233" i="5"/>
  <c r="M233" i="5" s="1"/>
  <c r="U232" i="5"/>
  <c r="S232" i="5"/>
  <c r="T232" i="5" s="1"/>
  <c r="Q232" i="5"/>
  <c r="P232" i="5"/>
  <c r="O232" i="5"/>
  <c r="L232" i="5"/>
  <c r="U231" i="5"/>
  <c r="S231" i="5"/>
  <c r="T231" i="5" s="1"/>
  <c r="Q231" i="5"/>
  <c r="P231" i="5"/>
  <c r="O231" i="5"/>
  <c r="L231" i="5"/>
  <c r="U230" i="5"/>
  <c r="S230" i="5"/>
  <c r="T230" i="5" s="1"/>
  <c r="Q230" i="5"/>
  <c r="P230" i="5"/>
  <c r="O230" i="5"/>
  <c r="L230" i="5"/>
  <c r="U229" i="5"/>
  <c r="T229" i="5"/>
  <c r="S229" i="5"/>
  <c r="Q229" i="5"/>
  <c r="P229" i="5"/>
  <c r="O229" i="5"/>
  <c r="L229" i="5"/>
  <c r="U228" i="5"/>
  <c r="S228" i="5"/>
  <c r="T228" i="5" s="1"/>
  <c r="Q228" i="5"/>
  <c r="P228" i="5"/>
  <c r="O228" i="5"/>
  <c r="L228" i="5"/>
  <c r="U227" i="5"/>
  <c r="S227" i="5"/>
  <c r="T227" i="5" s="1"/>
  <c r="Q227" i="5"/>
  <c r="P227" i="5"/>
  <c r="O227" i="5"/>
  <c r="L227" i="5"/>
  <c r="M227" i="5" s="1"/>
  <c r="U226" i="5"/>
  <c r="S226" i="5"/>
  <c r="T226" i="5" s="1"/>
  <c r="Q226" i="5"/>
  <c r="P226" i="5"/>
  <c r="O226" i="5"/>
  <c r="L226" i="5"/>
  <c r="M226" i="5" s="1"/>
  <c r="N226" i="5" s="1"/>
  <c r="U225" i="5"/>
  <c r="S225" i="5"/>
  <c r="T225" i="5" s="1"/>
  <c r="Q225" i="5"/>
  <c r="P225" i="5"/>
  <c r="O225" i="5"/>
  <c r="L225" i="5"/>
  <c r="M225" i="5" s="1"/>
  <c r="U224" i="5"/>
  <c r="S224" i="5"/>
  <c r="T224" i="5" s="1"/>
  <c r="Q224" i="5"/>
  <c r="P224" i="5"/>
  <c r="O224" i="5"/>
  <c r="L224" i="5"/>
  <c r="M224" i="5" s="1"/>
  <c r="N224" i="5" s="1"/>
  <c r="U223" i="5"/>
  <c r="S223" i="5"/>
  <c r="T223" i="5" s="1"/>
  <c r="Q223" i="5"/>
  <c r="P223" i="5"/>
  <c r="O223" i="5"/>
  <c r="L223" i="5"/>
  <c r="M223" i="5" s="1"/>
  <c r="U222" i="5"/>
  <c r="S222" i="5"/>
  <c r="T222" i="5" s="1"/>
  <c r="Q222" i="5"/>
  <c r="P222" i="5"/>
  <c r="O222" i="5"/>
  <c r="L222" i="5"/>
  <c r="M222" i="5" s="1"/>
  <c r="N222" i="5" s="1"/>
  <c r="U221" i="5"/>
  <c r="S221" i="5"/>
  <c r="T221" i="5" s="1"/>
  <c r="Q221" i="5"/>
  <c r="P221" i="5"/>
  <c r="O221" i="5"/>
  <c r="L221" i="5"/>
  <c r="M221" i="5" s="1"/>
  <c r="U220" i="5"/>
  <c r="S220" i="5"/>
  <c r="T220" i="5" s="1"/>
  <c r="Q220" i="5"/>
  <c r="P220" i="5"/>
  <c r="O220" i="5"/>
  <c r="L220" i="5"/>
  <c r="M220" i="5" s="1"/>
  <c r="N220" i="5" s="1"/>
  <c r="U219" i="5"/>
  <c r="S219" i="5"/>
  <c r="T219" i="5" s="1"/>
  <c r="Q219" i="5"/>
  <c r="P219" i="5"/>
  <c r="O219" i="5"/>
  <c r="L219" i="5"/>
  <c r="U218" i="5"/>
  <c r="S218" i="5"/>
  <c r="T218" i="5" s="1"/>
  <c r="Q218" i="5"/>
  <c r="P218" i="5"/>
  <c r="O218" i="5"/>
  <c r="N218" i="5"/>
  <c r="L218" i="5"/>
  <c r="M218" i="5" s="1"/>
  <c r="U217" i="5"/>
  <c r="S217" i="5"/>
  <c r="T217" i="5" s="1"/>
  <c r="Q217" i="5"/>
  <c r="P217" i="5"/>
  <c r="O217" i="5"/>
  <c r="L217" i="5"/>
  <c r="U216" i="5"/>
  <c r="S216" i="5"/>
  <c r="T216" i="5" s="1"/>
  <c r="Q216" i="5"/>
  <c r="P216" i="5"/>
  <c r="O216" i="5"/>
  <c r="L216" i="5"/>
  <c r="U215" i="5"/>
  <c r="S215" i="5"/>
  <c r="T215" i="5" s="1"/>
  <c r="Q215" i="5"/>
  <c r="P215" i="5"/>
  <c r="O215" i="5"/>
  <c r="L215" i="5"/>
  <c r="U214" i="5"/>
  <c r="S214" i="5"/>
  <c r="T214" i="5" s="1"/>
  <c r="Q214" i="5"/>
  <c r="P214" i="5"/>
  <c r="O214" i="5"/>
  <c r="L214" i="5"/>
  <c r="U213" i="5"/>
  <c r="S213" i="5"/>
  <c r="T213" i="5" s="1"/>
  <c r="Q213" i="5"/>
  <c r="P213" i="5"/>
  <c r="O213" i="5"/>
  <c r="L213" i="5"/>
  <c r="U212" i="5"/>
  <c r="S212" i="5"/>
  <c r="T212" i="5" s="1"/>
  <c r="Q212" i="5"/>
  <c r="P212" i="5"/>
  <c r="O212" i="5"/>
  <c r="L212" i="5"/>
  <c r="U211" i="5"/>
  <c r="S211" i="5"/>
  <c r="T211" i="5" s="1"/>
  <c r="Q211" i="5"/>
  <c r="P211" i="5"/>
  <c r="O211" i="5"/>
  <c r="L211" i="5"/>
  <c r="U210" i="5"/>
  <c r="S210" i="5"/>
  <c r="T210" i="5" s="1"/>
  <c r="Q210" i="5"/>
  <c r="P210" i="5"/>
  <c r="O210" i="5"/>
  <c r="L210" i="5"/>
  <c r="M210" i="5" s="1"/>
  <c r="N210" i="5" s="1"/>
  <c r="U209" i="5"/>
  <c r="S209" i="5"/>
  <c r="T209" i="5" s="1"/>
  <c r="Q209" i="5"/>
  <c r="P209" i="5"/>
  <c r="O209" i="5"/>
  <c r="L209" i="5"/>
  <c r="M209" i="5" s="1"/>
  <c r="U208" i="5"/>
  <c r="S208" i="5"/>
  <c r="T208" i="5" s="1"/>
  <c r="Q208" i="5"/>
  <c r="P208" i="5"/>
  <c r="O208" i="5"/>
  <c r="L208" i="5"/>
  <c r="M208" i="5" s="1"/>
  <c r="U207" i="5"/>
  <c r="S207" i="5"/>
  <c r="T207" i="5" s="1"/>
  <c r="Q207" i="5"/>
  <c r="P207" i="5"/>
  <c r="O207" i="5"/>
  <c r="L207" i="5"/>
  <c r="M207" i="5" s="1"/>
  <c r="U206" i="5"/>
  <c r="S206" i="5"/>
  <c r="T206" i="5" s="1"/>
  <c r="Q206" i="5"/>
  <c r="P206" i="5"/>
  <c r="O206" i="5"/>
  <c r="L206" i="5"/>
  <c r="M206" i="5" s="1"/>
  <c r="N206" i="5" s="1"/>
  <c r="U205" i="5"/>
  <c r="S205" i="5"/>
  <c r="T205" i="5" s="1"/>
  <c r="Q205" i="5"/>
  <c r="P205" i="5"/>
  <c r="O205" i="5"/>
  <c r="L205" i="5"/>
  <c r="U204" i="5"/>
  <c r="S204" i="5"/>
  <c r="T204" i="5" s="1"/>
  <c r="Q204" i="5"/>
  <c r="P204" i="5"/>
  <c r="O204" i="5"/>
  <c r="M204" i="5"/>
  <c r="N204" i="5" s="1"/>
  <c r="L204" i="5"/>
  <c r="U203" i="5"/>
  <c r="S203" i="5"/>
  <c r="T203" i="5" s="1"/>
  <c r="Q203" i="5"/>
  <c r="P203" i="5"/>
  <c r="O203" i="5"/>
  <c r="L203" i="5"/>
  <c r="U202" i="5"/>
  <c r="S202" i="5"/>
  <c r="T202" i="5" s="1"/>
  <c r="Q202" i="5"/>
  <c r="P202" i="5"/>
  <c r="O202" i="5"/>
  <c r="L202" i="5"/>
  <c r="U201" i="5"/>
  <c r="S201" i="5"/>
  <c r="T201" i="5" s="1"/>
  <c r="Q201" i="5"/>
  <c r="P201" i="5"/>
  <c r="O201" i="5"/>
  <c r="L201" i="5"/>
  <c r="U200" i="5"/>
  <c r="S200" i="5"/>
  <c r="T200" i="5" s="1"/>
  <c r="Q200" i="5"/>
  <c r="P200" i="5"/>
  <c r="O200" i="5"/>
  <c r="L200" i="5"/>
  <c r="U199" i="5"/>
  <c r="S199" i="5"/>
  <c r="T199" i="5" s="1"/>
  <c r="Q199" i="5"/>
  <c r="P199" i="5"/>
  <c r="O199" i="5"/>
  <c r="N199" i="5"/>
  <c r="L199" i="5"/>
  <c r="M199" i="5" s="1"/>
  <c r="U198" i="5"/>
  <c r="S198" i="5"/>
  <c r="T198" i="5" s="1"/>
  <c r="Q198" i="5"/>
  <c r="P198" i="5"/>
  <c r="O198" i="5"/>
  <c r="L198" i="5"/>
  <c r="M198" i="5" s="1"/>
  <c r="N198" i="5" s="1"/>
  <c r="U197" i="5"/>
  <c r="S197" i="5"/>
  <c r="T197" i="5" s="1"/>
  <c r="Q197" i="5"/>
  <c r="P197" i="5"/>
  <c r="O197" i="5"/>
  <c r="L197" i="5"/>
  <c r="U196" i="5"/>
  <c r="S196" i="5"/>
  <c r="T196" i="5" s="1"/>
  <c r="Q196" i="5"/>
  <c r="P196" i="5"/>
  <c r="O196" i="5"/>
  <c r="L196" i="5"/>
  <c r="U195" i="5"/>
  <c r="S195" i="5"/>
  <c r="T195" i="5" s="1"/>
  <c r="Q195" i="5"/>
  <c r="P195" i="5"/>
  <c r="O195" i="5"/>
  <c r="N195" i="5"/>
  <c r="L195" i="5"/>
  <c r="M195" i="5" s="1"/>
  <c r="U194" i="5"/>
  <c r="S194" i="5"/>
  <c r="T194" i="5" s="1"/>
  <c r="Q194" i="5"/>
  <c r="P194" i="5"/>
  <c r="O194" i="5"/>
  <c r="N194" i="5"/>
  <c r="L194" i="5"/>
  <c r="M194" i="5" s="1"/>
  <c r="U193" i="5"/>
  <c r="S193" i="5"/>
  <c r="T193" i="5" s="1"/>
  <c r="Q193" i="5"/>
  <c r="P193" i="5"/>
  <c r="O193" i="5"/>
  <c r="L193" i="5"/>
  <c r="M193" i="5" s="1"/>
  <c r="U192" i="5"/>
  <c r="S192" i="5"/>
  <c r="T192" i="5" s="1"/>
  <c r="Q192" i="5"/>
  <c r="P192" i="5"/>
  <c r="O192" i="5"/>
  <c r="L192" i="5"/>
  <c r="M192" i="5" s="1"/>
  <c r="U191" i="5"/>
  <c r="S191" i="5"/>
  <c r="T191" i="5" s="1"/>
  <c r="Q191" i="5"/>
  <c r="P191" i="5"/>
  <c r="O191" i="5"/>
  <c r="L191" i="5"/>
  <c r="U190" i="5"/>
  <c r="S190" i="5"/>
  <c r="T190" i="5" s="1"/>
  <c r="Q190" i="5"/>
  <c r="P190" i="5"/>
  <c r="O190" i="5"/>
  <c r="L190" i="5"/>
  <c r="M190" i="5" s="1"/>
  <c r="U189" i="5"/>
  <c r="S189" i="5"/>
  <c r="T189" i="5" s="1"/>
  <c r="Q189" i="5"/>
  <c r="P189" i="5"/>
  <c r="O189" i="5"/>
  <c r="L189" i="5"/>
  <c r="M189" i="5" s="1"/>
  <c r="U188" i="5"/>
  <c r="S188" i="5"/>
  <c r="T188" i="5" s="1"/>
  <c r="Q188" i="5"/>
  <c r="P188" i="5"/>
  <c r="O188" i="5"/>
  <c r="L188" i="5"/>
  <c r="M188" i="5" s="1"/>
  <c r="U187" i="5"/>
  <c r="S187" i="5"/>
  <c r="T187" i="5" s="1"/>
  <c r="Q187" i="5"/>
  <c r="P187" i="5"/>
  <c r="O187" i="5"/>
  <c r="L187" i="5"/>
  <c r="U186" i="5"/>
  <c r="S186" i="5"/>
  <c r="T186" i="5" s="1"/>
  <c r="Q186" i="5"/>
  <c r="P186" i="5"/>
  <c r="O186" i="5"/>
  <c r="L186" i="5"/>
  <c r="U185" i="5"/>
  <c r="S185" i="5"/>
  <c r="T185" i="5" s="1"/>
  <c r="Q185" i="5"/>
  <c r="P185" i="5"/>
  <c r="O185" i="5"/>
  <c r="L185" i="5"/>
  <c r="U184" i="5"/>
  <c r="S184" i="5"/>
  <c r="T184" i="5" s="1"/>
  <c r="Q184" i="5"/>
  <c r="P184" i="5"/>
  <c r="O184" i="5"/>
  <c r="L184" i="5"/>
  <c r="M184" i="5" s="1"/>
  <c r="U183" i="5"/>
  <c r="S183" i="5"/>
  <c r="T183" i="5" s="1"/>
  <c r="Q183" i="5"/>
  <c r="P183" i="5"/>
  <c r="O183" i="5"/>
  <c r="L183" i="5"/>
  <c r="U182" i="5"/>
  <c r="S182" i="5"/>
  <c r="T182" i="5" s="1"/>
  <c r="Q182" i="5"/>
  <c r="P182" i="5"/>
  <c r="O182" i="5"/>
  <c r="L182" i="5"/>
  <c r="M182" i="5" s="1"/>
  <c r="U181" i="5"/>
  <c r="S181" i="5"/>
  <c r="T181" i="5" s="1"/>
  <c r="Q181" i="5"/>
  <c r="P181" i="5"/>
  <c r="O181" i="5"/>
  <c r="L181" i="5"/>
  <c r="M181" i="5" s="1"/>
  <c r="U180" i="5"/>
  <c r="S180" i="5"/>
  <c r="T180" i="5" s="1"/>
  <c r="Q180" i="5"/>
  <c r="P180" i="5"/>
  <c r="O180" i="5"/>
  <c r="L180" i="5"/>
  <c r="M180" i="5" s="1"/>
  <c r="U179" i="5"/>
  <c r="S179" i="5"/>
  <c r="T179" i="5" s="1"/>
  <c r="Q179" i="5"/>
  <c r="P179" i="5"/>
  <c r="O179" i="5"/>
  <c r="N179" i="5"/>
  <c r="L179" i="5"/>
  <c r="M179" i="5" s="1"/>
  <c r="U178" i="5"/>
  <c r="S178" i="5"/>
  <c r="T178" i="5" s="1"/>
  <c r="Q178" i="5"/>
  <c r="P178" i="5"/>
  <c r="O178" i="5"/>
  <c r="L178" i="5"/>
  <c r="M178" i="5" s="1"/>
  <c r="U177" i="5"/>
  <c r="S177" i="5"/>
  <c r="T177" i="5" s="1"/>
  <c r="Q177" i="5"/>
  <c r="P177" i="5"/>
  <c r="O177" i="5"/>
  <c r="L177" i="5"/>
  <c r="M177" i="5" s="1"/>
  <c r="U176" i="5"/>
  <c r="S176" i="5"/>
  <c r="T176" i="5" s="1"/>
  <c r="Q176" i="5"/>
  <c r="P176" i="5"/>
  <c r="O176" i="5"/>
  <c r="L176" i="5"/>
  <c r="M176" i="5" s="1"/>
  <c r="U175" i="5"/>
  <c r="S175" i="5"/>
  <c r="T175" i="5" s="1"/>
  <c r="Q175" i="5"/>
  <c r="P175" i="5"/>
  <c r="O175" i="5"/>
  <c r="L175" i="5"/>
  <c r="U174" i="5"/>
  <c r="S174" i="5"/>
  <c r="T174" i="5" s="1"/>
  <c r="Q174" i="5"/>
  <c r="P174" i="5"/>
  <c r="O174" i="5"/>
  <c r="L174" i="5"/>
  <c r="M174" i="5" s="1"/>
  <c r="U173" i="5"/>
  <c r="S173" i="5"/>
  <c r="T173" i="5" s="1"/>
  <c r="Q173" i="5"/>
  <c r="P173" i="5"/>
  <c r="O173" i="5"/>
  <c r="N173" i="5"/>
  <c r="L173" i="5"/>
  <c r="M173" i="5" s="1"/>
  <c r="U172" i="5"/>
  <c r="S172" i="5"/>
  <c r="T172" i="5" s="1"/>
  <c r="Q172" i="5"/>
  <c r="P172" i="5"/>
  <c r="O172" i="5"/>
  <c r="L172" i="5"/>
  <c r="M172" i="5" s="1"/>
  <c r="N172" i="5" s="1"/>
  <c r="U171" i="5"/>
  <c r="S171" i="5"/>
  <c r="T171" i="5" s="1"/>
  <c r="Q171" i="5"/>
  <c r="P171" i="5"/>
  <c r="O171" i="5"/>
  <c r="N171" i="5"/>
  <c r="L171" i="5"/>
  <c r="M171" i="5" s="1"/>
  <c r="U170" i="5"/>
  <c r="S170" i="5"/>
  <c r="T170" i="5" s="1"/>
  <c r="Q170" i="5"/>
  <c r="P170" i="5"/>
  <c r="O170" i="5"/>
  <c r="L170" i="5"/>
  <c r="U169" i="5"/>
  <c r="S169" i="5"/>
  <c r="T169" i="5" s="1"/>
  <c r="Q169" i="5"/>
  <c r="P169" i="5"/>
  <c r="O169" i="5"/>
  <c r="L169" i="5"/>
  <c r="M169" i="5" s="1"/>
  <c r="U168" i="5"/>
  <c r="S168" i="5"/>
  <c r="T168" i="5" s="1"/>
  <c r="Q168" i="5"/>
  <c r="P168" i="5"/>
  <c r="O168" i="5"/>
  <c r="L168" i="5"/>
  <c r="M168" i="5" s="1"/>
  <c r="U167" i="5"/>
  <c r="S167" i="5"/>
  <c r="T167" i="5" s="1"/>
  <c r="Q167" i="5"/>
  <c r="P167" i="5"/>
  <c r="O167" i="5"/>
  <c r="N167" i="5"/>
  <c r="L167" i="5"/>
  <c r="M167" i="5" s="1"/>
  <c r="U166" i="5"/>
  <c r="S166" i="5"/>
  <c r="T166" i="5" s="1"/>
  <c r="Q166" i="5"/>
  <c r="P166" i="5"/>
  <c r="O166" i="5"/>
  <c r="L166" i="5"/>
  <c r="M166" i="5" s="1"/>
  <c r="N166" i="5" s="1"/>
  <c r="U165" i="5"/>
  <c r="S165" i="5"/>
  <c r="T165" i="5" s="1"/>
  <c r="Q165" i="5"/>
  <c r="P165" i="5"/>
  <c r="O165" i="5"/>
  <c r="N165" i="5"/>
  <c r="L165" i="5"/>
  <c r="M165" i="5" s="1"/>
  <c r="U164" i="5"/>
  <c r="S164" i="5"/>
  <c r="T164" i="5" s="1"/>
  <c r="Q164" i="5"/>
  <c r="P164" i="5"/>
  <c r="O164" i="5"/>
  <c r="L164" i="5"/>
  <c r="U163" i="5"/>
  <c r="S163" i="5"/>
  <c r="T163" i="5" s="1"/>
  <c r="Q163" i="5"/>
  <c r="P163" i="5"/>
  <c r="O163" i="5"/>
  <c r="L163" i="5"/>
  <c r="M163" i="5" s="1"/>
  <c r="U162" i="5"/>
  <c r="S162" i="5"/>
  <c r="T162" i="5" s="1"/>
  <c r="Q162" i="5"/>
  <c r="P162" i="5"/>
  <c r="O162" i="5"/>
  <c r="L162" i="5"/>
  <c r="U161" i="5"/>
  <c r="S161" i="5"/>
  <c r="T161" i="5" s="1"/>
  <c r="Q161" i="5"/>
  <c r="P161" i="5"/>
  <c r="O161" i="5"/>
  <c r="N161" i="5"/>
  <c r="L161" i="5"/>
  <c r="M161" i="5" s="1"/>
  <c r="U160" i="5"/>
  <c r="S160" i="5"/>
  <c r="T160" i="5" s="1"/>
  <c r="Q160" i="5"/>
  <c r="P160" i="5"/>
  <c r="O160" i="5"/>
  <c r="L160" i="5"/>
  <c r="U159" i="5"/>
  <c r="S159" i="5"/>
  <c r="T159" i="5" s="1"/>
  <c r="Q159" i="5"/>
  <c r="P159" i="5"/>
  <c r="O159" i="5"/>
  <c r="L159" i="5"/>
  <c r="U158" i="5"/>
  <c r="S158" i="5"/>
  <c r="T158" i="5" s="1"/>
  <c r="Q158" i="5"/>
  <c r="P158" i="5"/>
  <c r="O158" i="5"/>
  <c r="L158" i="5"/>
  <c r="M158" i="5" s="1"/>
  <c r="N158" i="5" s="1"/>
  <c r="U157" i="5"/>
  <c r="S157" i="5"/>
  <c r="T157" i="5" s="1"/>
  <c r="Q157" i="5"/>
  <c r="P157" i="5"/>
  <c r="O157" i="5"/>
  <c r="N157" i="5"/>
  <c r="L157" i="5"/>
  <c r="M157" i="5" s="1"/>
  <c r="U156" i="5"/>
  <c r="S156" i="5"/>
  <c r="T156" i="5" s="1"/>
  <c r="Q156" i="5"/>
  <c r="P156" i="5"/>
  <c r="O156" i="5"/>
  <c r="L156" i="5"/>
  <c r="M156" i="5" s="1"/>
  <c r="U155" i="5"/>
  <c r="S155" i="5"/>
  <c r="T155" i="5" s="1"/>
  <c r="Q155" i="5"/>
  <c r="P155" i="5"/>
  <c r="O155" i="5"/>
  <c r="L155" i="5"/>
  <c r="U154" i="5"/>
  <c r="S154" i="5"/>
  <c r="T154" i="5" s="1"/>
  <c r="Q154" i="5"/>
  <c r="P154" i="5"/>
  <c r="O154" i="5"/>
  <c r="L154" i="5"/>
  <c r="M154" i="5" s="1"/>
  <c r="N154" i="5" s="1"/>
  <c r="U153" i="5"/>
  <c r="S153" i="5"/>
  <c r="T153" i="5" s="1"/>
  <c r="Q153" i="5"/>
  <c r="P153" i="5"/>
  <c r="O153" i="5"/>
  <c r="L153" i="5"/>
  <c r="U152" i="5"/>
  <c r="S152" i="5"/>
  <c r="T152" i="5" s="1"/>
  <c r="Q152" i="5"/>
  <c r="P152" i="5"/>
  <c r="O152" i="5"/>
  <c r="L152" i="5"/>
  <c r="M152" i="5" s="1"/>
  <c r="N152" i="5" s="1"/>
  <c r="U151" i="5"/>
  <c r="S151" i="5"/>
  <c r="T151" i="5" s="1"/>
  <c r="Q151" i="5"/>
  <c r="P151" i="5"/>
  <c r="O151" i="5"/>
  <c r="L151" i="5"/>
  <c r="M151" i="5" s="1"/>
  <c r="U150" i="5"/>
  <c r="S150" i="5"/>
  <c r="T150" i="5" s="1"/>
  <c r="Q150" i="5"/>
  <c r="P150" i="5"/>
  <c r="O150" i="5"/>
  <c r="L150" i="5"/>
  <c r="U149" i="5"/>
  <c r="S149" i="5"/>
  <c r="T149" i="5" s="1"/>
  <c r="Q149" i="5"/>
  <c r="P149" i="5"/>
  <c r="O149" i="5"/>
  <c r="L149" i="5"/>
  <c r="U148" i="5"/>
  <c r="S148" i="5"/>
  <c r="T148" i="5" s="1"/>
  <c r="Q148" i="5"/>
  <c r="P148" i="5"/>
  <c r="O148" i="5"/>
  <c r="L148" i="5"/>
  <c r="U147" i="5"/>
  <c r="S147" i="5"/>
  <c r="T147" i="5" s="1"/>
  <c r="Q147" i="5"/>
  <c r="P147" i="5"/>
  <c r="O147" i="5"/>
  <c r="L147" i="5"/>
  <c r="M147" i="5" s="1"/>
  <c r="U146" i="5"/>
  <c r="S146" i="5"/>
  <c r="T146" i="5" s="1"/>
  <c r="Q146" i="5"/>
  <c r="P146" i="5"/>
  <c r="O146" i="5"/>
  <c r="L146" i="5"/>
  <c r="M146" i="5" s="1"/>
  <c r="N146" i="5" s="1"/>
  <c r="U145" i="5"/>
  <c r="S145" i="5"/>
  <c r="T145" i="5" s="1"/>
  <c r="Q145" i="5"/>
  <c r="P145" i="5"/>
  <c r="O145" i="5"/>
  <c r="L145" i="5"/>
  <c r="M145" i="5" s="1"/>
  <c r="U144" i="5"/>
  <c r="S144" i="5"/>
  <c r="T144" i="5" s="1"/>
  <c r="Q144" i="5"/>
  <c r="P144" i="5"/>
  <c r="O144" i="5"/>
  <c r="L144" i="5"/>
  <c r="M144" i="5" s="1"/>
  <c r="N144" i="5" s="1"/>
  <c r="U143" i="5"/>
  <c r="S143" i="5"/>
  <c r="T143" i="5" s="1"/>
  <c r="Q143" i="5"/>
  <c r="P143" i="5"/>
  <c r="O143" i="5"/>
  <c r="L143" i="5"/>
  <c r="U142" i="5"/>
  <c r="S142" i="5"/>
  <c r="T142" i="5" s="1"/>
  <c r="Q142" i="5"/>
  <c r="P142" i="5"/>
  <c r="O142" i="5"/>
  <c r="L142" i="5"/>
  <c r="U141" i="5"/>
  <c r="S141" i="5"/>
  <c r="T141" i="5" s="1"/>
  <c r="Q141" i="5"/>
  <c r="P141" i="5"/>
  <c r="O141" i="5"/>
  <c r="L141" i="5"/>
  <c r="N141" i="5" s="1"/>
  <c r="U140" i="5"/>
  <c r="S140" i="5"/>
  <c r="T140" i="5" s="1"/>
  <c r="Q140" i="5"/>
  <c r="P140" i="5"/>
  <c r="O140" i="5"/>
  <c r="L140" i="5"/>
  <c r="M140" i="5" s="1"/>
  <c r="U139" i="5"/>
  <c r="S139" i="5"/>
  <c r="T139" i="5" s="1"/>
  <c r="Q139" i="5"/>
  <c r="P139" i="5"/>
  <c r="O139" i="5"/>
  <c r="L139" i="5"/>
  <c r="M139" i="5" s="1"/>
  <c r="U138" i="5"/>
  <c r="S138" i="5"/>
  <c r="T138" i="5" s="1"/>
  <c r="Q138" i="5"/>
  <c r="P138" i="5"/>
  <c r="O138" i="5"/>
  <c r="L138" i="5"/>
  <c r="M138" i="5" s="1"/>
  <c r="U137" i="5"/>
  <c r="S137" i="5"/>
  <c r="T137" i="5" s="1"/>
  <c r="Q137" i="5"/>
  <c r="P137" i="5"/>
  <c r="O137" i="5"/>
  <c r="N137" i="5"/>
  <c r="L137" i="5"/>
  <c r="M137" i="5" s="1"/>
  <c r="U136" i="5"/>
  <c r="S136" i="5"/>
  <c r="T136" i="5" s="1"/>
  <c r="Q136" i="5"/>
  <c r="P136" i="5"/>
  <c r="O136" i="5"/>
  <c r="L136" i="5"/>
  <c r="M136" i="5" s="1"/>
  <c r="N136" i="5" s="1"/>
  <c r="U135" i="5"/>
  <c r="S135" i="5"/>
  <c r="T135" i="5" s="1"/>
  <c r="Q135" i="5"/>
  <c r="P135" i="5"/>
  <c r="O135" i="5"/>
  <c r="L135" i="5"/>
  <c r="M135" i="5" s="1"/>
  <c r="U134" i="5"/>
  <c r="S134" i="5"/>
  <c r="T134" i="5" s="1"/>
  <c r="Q134" i="5"/>
  <c r="P134" i="5"/>
  <c r="O134" i="5"/>
  <c r="L134" i="5"/>
  <c r="U133" i="5"/>
  <c r="S133" i="5"/>
  <c r="T133" i="5" s="1"/>
  <c r="Q133" i="5"/>
  <c r="P133" i="5"/>
  <c r="O133" i="5"/>
  <c r="L133" i="5"/>
  <c r="M133" i="5" s="1"/>
  <c r="U132" i="5"/>
  <c r="S132" i="5"/>
  <c r="T132" i="5" s="1"/>
  <c r="Q132" i="5"/>
  <c r="P132" i="5"/>
  <c r="O132" i="5"/>
  <c r="L132" i="5"/>
  <c r="U131" i="5"/>
  <c r="S131" i="5"/>
  <c r="T131" i="5" s="1"/>
  <c r="Q131" i="5"/>
  <c r="P131" i="5"/>
  <c r="O131" i="5"/>
  <c r="L131" i="5"/>
  <c r="U130" i="5"/>
  <c r="S130" i="5"/>
  <c r="T130" i="5" s="1"/>
  <c r="Q130" i="5"/>
  <c r="P130" i="5"/>
  <c r="O130" i="5"/>
  <c r="L130" i="5"/>
  <c r="M130" i="5" s="1"/>
  <c r="U129" i="5"/>
  <c r="S129" i="5"/>
  <c r="T129" i="5" s="1"/>
  <c r="Q129" i="5"/>
  <c r="P129" i="5"/>
  <c r="O129" i="5"/>
  <c r="L129" i="5"/>
  <c r="M129" i="5" s="1"/>
  <c r="U128" i="5"/>
  <c r="S128" i="5"/>
  <c r="T128" i="5" s="1"/>
  <c r="Q128" i="5"/>
  <c r="P128" i="5"/>
  <c r="O128" i="5"/>
  <c r="L128" i="5"/>
  <c r="U127" i="5"/>
  <c r="S127" i="5"/>
  <c r="T127" i="5" s="1"/>
  <c r="Q127" i="5"/>
  <c r="P127" i="5"/>
  <c r="O127" i="5"/>
  <c r="N127" i="5"/>
  <c r="L127" i="5"/>
  <c r="M127" i="5" s="1"/>
  <c r="U126" i="5"/>
  <c r="S126" i="5"/>
  <c r="T126" i="5" s="1"/>
  <c r="Q126" i="5"/>
  <c r="P126" i="5"/>
  <c r="O126" i="5"/>
  <c r="L126" i="5"/>
  <c r="M126" i="5" s="1"/>
  <c r="U125" i="5"/>
  <c r="S125" i="5"/>
  <c r="T125" i="5" s="1"/>
  <c r="Q125" i="5"/>
  <c r="P125" i="5"/>
  <c r="O125" i="5"/>
  <c r="L125" i="5"/>
  <c r="U124" i="5"/>
  <c r="S124" i="5"/>
  <c r="T124" i="5" s="1"/>
  <c r="Q124" i="5"/>
  <c r="P124" i="5"/>
  <c r="O124" i="5"/>
  <c r="L124" i="5"/>
  <c r="U123" i="5"/>
  <c r="S123" i="5"/>
  <c r="T123" i="5" s="1"/>
  <c r="Q123" i="5"/>
  <c r="P123" i="5"/>
  <c r="O123" i="5"/>
  <c r="L123" i="5"/>
  <c r="M123" i="5" s="1"/>
  <c r="U122" i="5"/>
  <c r="S122" i="5"/>
  <c r="T122" i="5" s="1"/>
  <c r="Q122" i="5"/>
  <c r="P122" i="5"/>
  <c r="O122" i="5"/>
  <c r="L122" i="5"/>
  <c r="U121" i="5"/>
  <c r="S121" i="5"/>
  <c r="T121" i="5" s="1"/>
  <c r="Q121" i="5"/>
  <c r="P121" i="5"/>
  <c r="O121" i="5"/>
  <c r="N121" i="5"/>
  <c r="L121" i="5"/>
  <c r="M121" i="5" s="1"/>
  <c r="U120" i="5"/>
  <c r="S120" i="5"/>
  <c r="T120" i="5" s="1"/>
  <c r="Q120" i="5"/>
  <c r="P120" i="5"/>
  <c r="O120" i="5"/>
  <c r="L120" i="5"/>
  <c r="M120" i="5" s="1"/>
  <c r="N120" i="5" s="1"/>
  <c r="U119" i="5"/>
  <c r="S119" i="5"/>
  <c r="T119" i="5" s="1"/>
  <c r="Q119" i="5"/>
  <c r="P119" i="5"/>
  <c r="O119" i="5"/>
  <c r="N119" i="5"/>
  <c r="L119" i="5"/>
  <c r="M119" i="5" s="1"/>
  <c r="U118" i="5"/>
  <c r="S118" i="5"/>
  <c r="T118" i="5" s="1"/>
  <c r="Q118" i="5"/>
  <c r="P118" i="5"/>
  <c r="O118" i="5"/>
  <c r="L118" i="5"/>
  <c r="M118" i="5" s="1"/>
  <c r="U117" i="5"/>
  <c r="S117" i="5"/>
  <c r="T117" i="5" s="1"/>
  <c r="Q117" i="5"/>
  <c r="P117" i="5"/>
  <c r="O117" i="5"/>
  <c r="L117" i="5"/>
  <c r="M117" i="5" s="1"/>
  <c r="U116" i="5"/>
  <c r="S116" i="5"/>
  <c r="T116" i="5" s="1"/>
  <c r="Q116" i="5"/>
  <c r="P116" i="5"/>
  <c r="O116" i="5"/>
  <c r="L116" i="5"/>
  <c r="M116" i="5" s="1"/>
  <c r="U115" i="5"/>
  <c r="S115" i="5"/>
  <c r="T115" i="5" s="1"/>
  <c r="Q115" i="5"/>
  <c r="P115" i="5"/>
  <c r="O115" i="5"/>
  <c r="L115" i="5"/>
  <c r="M115" i="5" s="1"/>
  <c r="U114" i="5"/>
  <c r="S114" i="5"/>
  <c r="T114" i="5" s="1"/>
  <c r="Q114" i="5"/>
  <c r="P114" i="5"/>
  <c r="O114" i="5"/>
  <c r="L114" i="5"/>
  <c r="M114" i="5" s="1"/>
  <c r="N114" i="5" s="1"/>
  <c r="U113" i="5"/>
  <c r="S113" i="5"/>
  <c r="T113" i="5" s="1"/>
  <c r="Q113" i="5"/>
  <c r="P113" i="5"/>
  <c r="O113" i="5"/>
  <c r="L113" i="5"/>
  <c r="M113" i="5" s="1"/>
  <c r="U112" i="5"/>
  <c r="S112" i="5"/>
  <c r="T112" i="5" s="1"/>
  <c r="Q112" i="5"/>
  <c r="P112" i="5"/>
  <c r="O112" i="5"/>
  <c r="L112" i="5"/>
  <c r="M112" i="5" s="1"/>
  <c r="N112" i="5" s="1"/>
  <c r="U111" i="5"/>
  <c r="S111" i="5"/>
  <c r="T111" i="5" s="1"/>
  <c r="Q111" i="5"/>
  <c r="P111" i="5"/>
  <c r="O111" i="5"/>
  <c r="N111" i="5"/>
  <c r="L111" i="5"/>
  <c r="M111" i="5" s="1"/>
  <c r="U110" i="5"/>
  <c r="S110" i="5"/>
  <c r="T110" i="5" s="1"/>
  <c r="Q110" i="5"/>
  <c r="P110" i="5"/>
  <c r="O110" i="5"/>
  <c r="L110" i="5"/>
  <c r="M110" i="5" s="1"/>
  <c r="N110" i="5" s="1"/>
  <c r="U109" i="5"/>
  <c r="S109" i="5"/>
  <c r="T109" i="5" s="1"/>
  <c r="Q109" i="5"/>
  <c r="P109" i="5"/>
  <c r="O109" i="5"/>
  <c r="N109" i="5"/>
  <c r="L109" i="5"/>
  <c r="M109" i="5" s="1"/>
  <c r="U108" i="5"/>
  <c r="S108" i="5"/>
  <c r="T108" i="5" s="1"/>
  <c r="Q108" i="5"/>
  <c r="P108" i="5"/>
  <c r="O108" i="5"/>
  <c r="L108" i="5"/>
  <c r="M108" i="5" s="1"/>
  <c r="N108" i="5" s="1"/>
  <c r="U107" i="5"/>
  <c r="S107" i="5"/>
  <c r="T107" i="5" s="1"/>
  <c r="Q107" i="5"/>
  <c r="P107" i="5"/>
  <c r="O107" i="5"/>
  <c r="L107" i="5"/>
  <c r="M107" i="5" s="1"/>
  <c r="N107" i="5" s="1"/>
  <c r="U106" i="5"/>
  <c r="S106" i="5"/>
  <c r="T106" i="5" s="1"/>
  <c r="Q106" i="5"/>
  <c r="P106" i="5"/>
  <c r="O106" i="5"/>
  <c r="L106" i="5"/>
  <c r="U105" i="5"/>
  <c r="S105" i="5"/>
  <c r="T105" i="5" s="1"/>
  <c r="Q105" i="5"/>
  <c r="P105" i="5"/>
  <c r="O105" i="5"/>
  <c r="L105" i="5"/>
  <c r="U104" i="5"/>
  <c r="S104" i="5"/>
  <c r="T104" i="5" s="1"/>
  <c r="Q104" i="5"/>
  <c r="P104" i="5"/>
  <c r="O104" i="5"/>
  <c r="L104" i="5"/>
  <c r="M104" i="5" s="1"/>
  <c r="N104" i="5" s="1"/>
  <c r="U103" i="5"/>
  <c r="S103" i="5"/>
  <c r="T103" i="5" s="1"/>
  <c r="Q103" i="5"/>
  <c r="P103" i="5"/>
  <c r="O103" i="5"/>
  <c r="L103" i="5"/>
  <c r="M103" i="5" s="1"/>
  <c r="N103" i="5" s="1"/>
  <c r="U102" i="5"/>
  <c r="S102" i="5"/>
  <c r="T102" i="5" s="1"/>
  <c r="Q102" i="5"/>
  <c r="P102" i="5"/>
  <c r="O102" i="5"/>
  <c r="L102" i="5"/>
  <c r="M102" i="5" s="1"/>
  <c r="N102" i="5" s="1"/>
  <c r="U101" i="5"/>
  <c r="S101" i="5"/>
  <c r="T101" i="5" s="1"/>
  <c r="Q101" i="5"/>
  <c r="P101" i="5"/>
  <c r="O101" i="5"/>
  <c r="L101" i="5"/>
  <c r="U100" i="5"/>
  <c r="S100" i="5"/>
  <c r="T100" i="5" s="1"/>
  <c r="Q100" i="5"/>
  <c r="P100" i="5"/>
  <c r="O100" i="5"/>
  <c r="L100" i="5"/>
  <c r="M100" i="5" s="1"/>
  <c r="N100" i="5" s="1"/>
  <c r="U99" i="5"/>
  <c r="S99" i="5"/>
  <c r="T99" i="5" s="1"/>
  <c r="Q99" i="5"/>
  <c r="P99" i="5"/>
  <c r="O99" i="5"/>
  <c r="L99" i="5"/>
  <c r="M99" i="5" s="1"/>
  <c r="U98" i="5"/>
  <c r="S98" i="5"/>
  <c r="T98" i="5" s="1"/>
  <c r="Q98" i="5"/>
  <c r="P98" i="5"/>
  <c r="O98" i="5"/>
  <c r="L98" i="5"/>
  <c r="M98" i="5" s="1"/>
  <c r="U97" i="5"/>
  <c r="S97" i="5"/>
  <c r="T97" i="5" s="1"/>
  <c r="Q97" i="5"/>
  <c r="P97" i="5"/>
  <c r="O97" i="5"/>
  <c r="N97" i="5"/>
  <c r="L97" i="5"/>
  <c r="M97" i="5" s="1"/>
  <c r="U96" i="5"/>
  <c r="S96" i="5"/>
  <c r="T96" i="5" s="1"/>
  <c r="Q96" i="5"/>
  <c r="P96" i="5"/>
  <c r="O96" i="5"/>
  <c r="L96" i="5"/>
  <c r="M96" i="5" s="1"/>
  <c r="U95" i="5"/>
  <c r="S95" i="5"/>
  <c r="T95" i="5" s="1"/>
  <c r="Q95" i="5"/>
  <c r="P95" i="5"/>
  <c r="O95" i="5"/>
  <c r="L95" i="5"/>
  <c r="M95" i="5" s="1"/>
  <c r="U94" i="5"/>
  <c r="S94" i="5"/>
  <c r="T94" i="5" s="1"/>
  <c r="Q94" i="5"/>
  <c r="P94" i="5"/>
  <c r="O94" i="5"/>
  <c r="N94" i="5"/>
  <c r="L94" i="5"/>
  <c r="M94" i="5" s="1"/>
  <c r="U93" i="5"/>
  <c r="S93" i="5"/>
  <c r="T93" i="5" s="1"/>
  <c r="Q93" i="5"/>
  <c r="P93" i="5"/>
  <c r="O93" i="5"/>
  <c r="N93" i="5"/>
  <c r="L93" i="5"/>
  <c r="M93" i="5" s="1"/>
  <c r="U92" i="5"/>
  <c r="S92" i="5"/>
  <c r="T92" i="5" s="1"/>
  <c r="Q92" i="5"/>
  <c r="P92" i="5"/>
  <c r="O92" i="5"/>
  <c r="N92" i="5"/>
  <c r="L92" i="5"/>
  <c r="M92" i="5" s="1"/>
  <c r="U91" i="5"/>
  <c r="S91" i="5"/>
  <c r="T91" i="5" s="1"/>
  <c r="Q91" i="5"/>
  <c r="P91" i="5"/>
  <c r="O91" i="5"/>
  <c r="L91" i="5"/>
  <c r="U90" i="5"/>
  <c r="T90" i="5"/>
  <c r="S90" i="5"/>
  <c r="Q90" i="5"/>
  <c r="P90" i="5"/>
  <c r="O90" i="5"/>
  <c r="L90" i="5"/>
  <c r="M90" i="5" s="1"/>
  <c r="U89" i="5"/>
  <c r="S89" i="5"/>
  <c r="T89" i="5" s="1"/>
  <c r="Q89" i="5"/>
  <c r="P89" i="5"/>
  <c r="O89" i="5"/>
  <c r="L89" i="5"/>
  <c r="U88" i="5"/>
  <c r="S88" i="5"/>
  <c r="T88" i="5" s="1"/>
  <c r="Q88" i="5"/>
  <c r="P88" i="5"/>
  <c r="O88" i="5"/>
  <c r="L88" i="5"/>
  <c r="M88" i="5" s="1"/>
  <c r="U87" i="5"/>
  <c r="S87" i="5"/>
  <c r="T87" i="5" s="1"/>
  <c r="Q87" i="5"/>
  <c r="P87" i="5"/>
  <c r="O87" i="5"/>
  <c r="L87" i="5"/>
  <c r="M87" i="5" s="1"/>
  <c r="U86" i="5"/>
  <c r="S86" i="5"/>
  <c r="T86" i="5" s="1"/>
  <c r="Q86" i="5"/>
  <c r="P86" i="5"/>
  <c r="O86" i="5"/>
  <c r="L86" i="5"/>
  <c r="M86" i="5" s="1"/>
  <c r="U85" i="5"/>
  <c r="S85" i="5"/>
  <c r="T85" i="5" s="1"/>
  <c r="Q85" i="5"/>
  <c r="P85" i="5"/>
  <c r="O85" i="5"/>
  <c r="N85" i="5"/>
  <c r="L85" i="5"/>
  <c r="M85" i="5" s="1"/>
  <c r="U84" i="5"/>
  <c r="S84" i="5"/>
  <c r="T84" i="5" s="1"/>
  <c r="Q84" i="5"/>
  <c r="P84" i="5"/>
  <c r="O84" i="5"/>
  <c r="N84" i="5"/>
  <c r="L84" i="5"/>
  <c r="M84" i="5" s="1"/>
  <c r="U83" i="5"/>
  <c r="S83" i="5"/>
  <c r="T83" i="5" s="1"/>
  <c r="Q83" i="5"/>
  <c r="P83" i="5"/>
  <c r="O83" i="5"/>
  <c r="L83" i="5"/>
  <c r="M83" i="5" s="1"/>
  <c r="U82" i="5"/>
  <c r="S82" i="5"/>
  <c r="T82" i="5" s="1"/>
  <c r="Q82" i="5"/>
  <c r="P82" i="5"/>
  <c r="O82" i="5"/>
  <c r="L82" i="5"/>
  <c r="M82" i="5" s="1"/>
  <c r="U81" i="5"/>
  <c r="S81" i="5"/>
  <c r="T81" i="5" s="1"/>
  <c r="Q81" i="5"/>
  <c r="P81" i="5"/>
  <c r="O81" i="5"/>
  <c r="L81" i="5"/>
  <c r="M81" i="5" s="1"/>
  <c r="U80" i="5"/>
  <c r="S80" i="5"/>
  <c r="T80" i="5" s="1"/>
  <c r="Q80" i="5"/>
  <c r="P80" i="5"/>
  <c r="O80" i="5"/>
  <c r="L80" i="5"/>
  <c r="M80" i="5" s="1"/>
  <c r="U79" i="5"/>
  <c r="S79" i="5"/>
  <c r="T79" i="5" s="1"/>
  <c r="Q79" i="5"/>
  <c r="P79" i="5"/>
  <c r="O79" i="5"/>
  <c r="L79" i="5"/>
  <c r="U78" i="5"/>
  <c r="S78" i="5"/>
  <c r="T78" i="5" s="1"/>
  <c r="Q78" i="5"/>
  <c r="P78" i="5"/>
  <c r="O78" i="5"/>
  <c r="L78" i="5"/>
  <c r="M78" i="5" s="1"/>
  <c r="U77" i="5"/>
  <c r="S77" i="5"/>
  <c r="T77" i="5" s="1"/>
  <c r="Q77" i="5"/>
  <c r="P77" i="5"/>
  <c r="O77" i="5"/>
  <c r="L77" i="5"/>
  <c r="U76" i="5"/>
  <c r="S76" i="5"/>
  <c r="T76" i="5" s="1"/>
  <c r="Q76" i="5"/>
  <c r="P76" i="5"/>
  <c r="O76" i="5"/>
  <c r="L76" i="5"/>
  <c r="M76" i="5" s="1"/>
  <c r="U75" i="5"/>
  <c r="S75" i="5"/>
  <c r="T75" i="5" s="1"/>
  <c r="Q75" i="5"/>
  <c r="P75" i="5"/>
  <c r="O75" i="5"/>
  <c r="L75" i="5"/>
  <c r="U74" i="5"/>
  <c r="S74" i="5"/>
  <c r="T74" i="5" s="1"/>
  <c r="Q74" i="5"/>
  <c r="P74" i="5"/>
  <c r="O74" i="5"/>
  <c r="L74" i="5"/>
  <c r="M74" i="5" s="1"/>
  <c r="U73" i="5"/>
  <c r="S73" i="5"/>
  <c r="T73" i="5" s="1"/>
  <c r="Q73" i="5"/>
  <c r="P73" i="5"/>
  <c r="O73" i="5"/>
  <c r="L73" i="5"/>
  <c r="M73" i="5" s="1"/>
  <c r="N73" i="5" s="1"/>
  <c r="U72" i="5"/>
  <c r="S72" i="5"/>
  <c r="T72" i="5" s="1"/>
  <c r="Q72" i="5"/>
  <c r="P72" i="5"/>
  <c r="O72" i="5"/>
  <c r="L72" i="5"/>
  <c r="U71" i="5"/>
  <c r="S71" i="5"/>
  <c r="T71" i="5" s="1"/>
  <c r="Q71" i="5"/>
  <c r="P71" i="5"/>
  <c r="O71" i="5"/>
  <c r="L71" i="5"/>
  <c r="M71" i="5" s="1"/>
  <c r="U70" i="5"/>
  <c r="S70" i="5"/>
  <c r="T70" i="5" s="1"/>
  <c r="Q70" i="5"/>
  <c r="P70" i="5"/>
  <c r="O70" i="5"/>
  <c r="L70" i="5"/>
  <c r="M70" i="5" s="1"/>
  <c r="U69" i="5"/>
  <c r="S69" i="5"/>
  <c r="T69" i="5" s="1"/>
  <c r="Q69" i="5"/>
  <c r="P69" i="5"/>
  <c r="O69" i="5"/>
  <c r="L69" i="5"/>
  <c r="M69" i="5" s="1"/>
  <c r="N69" i="5" s="1"/>
  <c r="U68" i="5"/>
  <c r="S68" i="5"/>
  <c r="T68" i="5" s="1"/>
  <c r="Q68" i="5"/>
  <c r="P68" i="5"/>
  <c r="O68" i="5"/>
  <c r="L68" i="5"/>
  <c r="U67" i="5"/>
  <c r="S67" i="5"/>
  <c r="T67" i="5" s="1"/>
  <c r="Q67" i="5"/>
  <c r="P67" i="5"/>
  <c r="O67" i="5"/>
  <c r="L67" i="5"/>
  <c r="N67" i="5" s="1"/>
  <c r="U66" i="5"/>
  <c r="S66" i="5"/>
  <c r="T66" i="5" s="1"/>
  <c r="Q66" i="5"/>
  <c r="P66" i="5"/>
  <c r="O66" i="5"/>
  <c r="L66" i="5"/>
  <c r="M66" i="5" s="1"/>
  <c r="U65" i="5"/>
  <c r="S65" i="5"/>
  <c r="T65" i="5" s="1"/>
  <c r="Q65" i="5"/>
  <c r="P65" i="5"/>
  <c r="O65" i="5"/>
  <c r="N65" i="5"/>
  <c r="L65" i="5"/>
  <c r="M65" i="5" s="1"/>
  <c r="U64" i="5"/>
  <c r="S64" i="5"/>
  <c r="T64" i="5" s="1"/>
  <c r="Q64" i="5"/>
  <c r="P64" i="5"/>
  <c r="O64" i="5"/>
  <c r="L64" i="5"/>
  <c r="U63" i="5"/>
  <c r="S63" i="5"/>
  <c r="T63" i="5" s="1"/>
  <c r="Q63" i="5"/>
  <c r="P63" i="5"/>
  <c r="O63" i="5"/>
  <c r="L63" i="5"/>
  <c r="U62" i="5"/>
  <c r="S62" i="5"/>
  <c r="T62" i="5" s="1"/>
  <c r="Q62" i="5"/>
  <c r="P62" i="5"/>
  <c r="O62" i="5"/>
  <c r="L62" i="5"/>
  <c r="M62" i="5" s="1"/>
  <c r="U61" i="5"/>
  <c r="S61" i="5"/>
  <c r="T61" i="5" s="1"/>
  <c r="Q61" i="5"/>
  <c r="P61" i="5"/>
  <c r="O61" i="5"/>
  <c r="L61" i="5"/>
  <c r="M61" i="5" s="1"/>
  <c r="N61" i="5" s="1"/>
  <c r="U60" i="5"/>
  <c r="S60" i="5"/>
  <c r="T60" i="5" s="1"/>
  <c r="Q60" i="5"/>
  <c r="P60" i="5"/>
  <c r="O60" i="5"/>
  <c r="L60" i="5"/>
  <c r="M60" i="5" s="1"/>
  <c r="U59" i="5"/>
  <c r="S59" i="5"/>
  <c r="T59" i="5" s="1"/>
  <c r="Q59" i="5"/>
  <c r="P59" i="5"/>
  <c r="O59" i="5"/>
  <c r="L59" i="5"/>
  <c r="U58" i="5"/>
  <c r="S58" i="5"/>
  <c r="T58" i="5" s="1"/>
  <c r="Q58" i="5"/>
  <c r="P58" i="5"/>
  <c r="O58" i="5"/>
  <c r="L58" i="5"/>
  <c r="M58" i="5" s="1"/>
  <c r="U57" i="5"/>
  <c r="S57" i="5"/>
  <c r="T57" i="5" s="1"/>
  <c r="Q57" i="5"/>
  <c r="P57" i="5"/>
  <c r="O57" i="5"/>
  <c r="L57" i="5"/>
  <c r="U56" i="5"/>
  <c r="S56" i="5"/>
  <c r="T56" i="5" s="1"/>
  <c r="Q56" i="5"/>
  <c r="P56" i="5"/>
  <c r="O56" i="5"/>
  <c r="L56" i="5"/>
  <c r="U55" i="5"/>
  <c r="S55" i="5"/>
  <c r="T55" i="5" s="1"/>
  <c r="Q55" i="5"/>
  <c r="P55" i="5"/>
  <c r="O55" i="5"/>
  <c r="L55" i="5"/>
  <c r="M55" i="5" s="1"/>
  <c r="U54" i="5"/>
  <c r="S54" i="5"/>
  <c r="T54" i="5" s="1"/>
  <c r="Q54" i="5"/>
  <c r="P54" i="5"/>
  <c r="O54" i="5"/>
  <c r="L54" i="5"/>
  <c r="M54" i="5" s="1"/>
  <c r="U53" i="5"/>
  <c r="S53" i="5"/>
  <c r="T53" i="5" s="1"/>
  <c r="Q53" i="5"/>
  <c r="P53" i="5"/>
  <c r="O53" i="5"/>
  <c r="L53" i="5"/>
  <c r="M53" i="5" s="1"/>
  <c r="U52" i="5"/>
  <c r="S52" i="5"/>
  <c r="T52" i="5" s="1"/>
  <c r="Q52" i="5"/>
  <c r="P52" i="5"/>
  <c r="O52" i="5"/>
  <c r="L52" i="5"/>
  <c r="U51" i="5"/>
  <c r="S51" i="5"/>
  <c r="T51" i="5" s="1"/>
  <c r="Q51" i="5"/>
  <c r="P51" i="5"/>
  <c r="O51" i="5"/>
  <c r="L51" i="5"/>
  <c r="U50" i="5"/>
  <c r="S50" i="5"/>
  <c r="T50" i="5" s="1"/>
  <c r="Q50" i="5"/>
  <c r="P50" i="5"/>
  <c r="O50" i="5"/>
  <c r="L50" i="5"/>
  <c r="M50" i="5" s="1"/>
  <c r="U49" i="5"/>
  <c r="S49" i="5"/>
  <c r="T49" i="5" s="1"/>
  <c r="Q49" i="5"/>
  <c r="P49" i="5"/>
  <c r="O49" i="5"/>
  <c r="L49" i="5"/>
  <c r="U48" i="5"/>
  <c r="S48" i="5"/>
  <c r="T48" i="5" s="1"/>
  <c r="Q48" i="5"/>
  <c r="P48" i="5"/>
  <c r="O48" i="5"/>
  <c r="N48" i="5"/>
  <c r="L48" i="5"/>
  <c r="M48" i="5" s="1"/>
  <c r="U47" i="5"/>
  <c r="S47" i="5"/>
  <c r="T47" i="5" s="1"/>
  <c r="Q47" i="5"/>
  <c r="P47" i="5"/>
  <c r="O47" i="5"/>
  <c r="L47" i="5"/>
  <c r="M47" i="5" s="1"/>
  <c r="U46" i="5"/>
  <c r="S46" i="5"/>
  <c r="T46" i="5" s="1"/>
  <c r="Q46" i="5"/>
  <c r="P46" i="5"/>
  <c r="O46" i="5"/>
  <c r="L46" i="5"/>
  <c r="U45" i="5"/>
  <c r="S45" i="5"/>
  <c r="T45" i="5" s="1"/>
  <c r="Q45" i="5"/>
  <c r="P45" i="5"/>
  <c r="O45" i="5"/>
  <c r="L45" i="5"/>
  <c r="M45" i="5" s="1"/>
  <c r="U44" i="5"/>
  <c r="S44" i="5"/>
  <c r="T44" i="5" s="1"/>
  <c r="Q44" i="5"/>
  <c r="P44" i="5"/>
  <c r="O44" i="5"/>
  <c r="L44" i="5"/>
  <c r="M44" i="5" s="1"/>
  <c r="U43" i="5"/>
  <c r="S43" i="5"/>
  <c r="T43" i="5" s="1"/>
  <c r="Q43" i="5"/>
  <c r="P43" i="5"/>
  <c r="O43" i="5"/>
  <c r="L43" i="5"/>
  <c r="U42" i="5"/>
  <c r="S42" i="5"/>
  <c r="T42" i="5" s="1"/>
  <c r="Q42" i="5"/>
  <c r="P42" i="5"/>
  <c r="O42" i="5"/>
  <c r="L42" i="5"/>
  <c r="U41" i="5"/>
  <c r="S41" i="5"/>
  <c r="T41" i="5" s="1"/>
  <c r="Q41" i="5"/>
  <c r="P41" i="5"/>
  <c r="O41" i="5"/>
  <c r="L41" i="5"/>
  <c r="U40" i="5"/>
  <c r="S40" i="5"/>
  <c r="T40" i="5" s="1"/>
  <c r="Q40" i="5"/>
  <c r="P40" i="5"/>
  <c r="O40" i="5"/>
  <c r="L40" i="5"/>
  <c r="M40" i="5" s="1"/>
  <c r="U39" i="5"/>
  <c r="S39" i="5"/>
  <c r="T39" i="5" s="1"/>
  <c r="Q39" i="5"/>
  <c r="P39" i="5"/>
  <c r="O39" i="5"/>
  <c r="L39" i="5"/>
  <c r="M39" i="5" s="1"/>
  <c r="N39" i="5" s="1"/>
  <c r="U38" i="5"/>
  <c r="S38" i="5"/>
  <c r="T38" i="5" s="1"/>
  <c r="Q38" i="5"/>
  <c r="P38" i="5"/>
  <c r="O38" i="5"/>
  <c r="L38" i="5"/>
  <c r="M38" i="5" s="1"/>
  <c r="U37" i="5"/>
  <c r="S37" i="5"/>
  <c r="T37" i="5" s="1"/>
  <c r="Q37" i="5"/>
  <c r="P37" i="5"/>
  <c r="O37" i="5"/>
  <c r="N37" i="5"/>
  <c r="L37" i="5"/>
  <c r="M37" i="5" s="1"/>
  <c r="U36" i="5"/>
  <c r="S36" i="5"/>
  <c r="T36" i="5" s="1"/>
  <c r="Q36" i="5"/>
  <c r="P36" i="5"/>
  <c r="O36" i="5"/>
  <c r="L36" i="5"/>
  <c r="M36" i="5" s="1"/>
  <c r="U35" i="5"/>
  <c r="S35" i="5"/>
  <c r="T35" i="5" s="1"/>
  <c r="Q35" i="5"/>
  <c r="P35" i="5"/>
  <c r="O35" i="5"/>
  <c r="N35" i="5"/>
  <c r="L35" i="5"/>
  <c r="M35" i="5" s="1"/>
  <c r="U34" i="5"/>
  <c r="S34" i="5"/>
  <c r="T34" i="5" s="1"/>
  <c r="Q34" i="5"/>
  <c r="P34" i="5"/>
  <c r="O34" i="5"/>
  <c r="L34" i="5"/>
  <c r="U33" i="5"/>
  <c r="S33" i="5"/>
  <c r="T33" i="5" s="1"/>
  <c r="Q33" i="5"/>
  <c r="P33" i="5"/>
  <c r="O33" i="5"/>
  <c r="N33" i="5"/>
  <c r="L33" i="5"/>
  <c r="M33" i="5" s="1"/>
  <c r="U32" i="5"/>
  <c r="S32" i="5"/>
  <c r="T32" i="5" s="1"/>
  <c r="Q32" i="5"/>
  <c r="P32" i="5"/>
  <c r="O32" i="5"/>
  <c r="L32" i="5"/>
  <c r="M32" i="5" s="1"/>
  <c r="U31" i="5"/>
  <c r="S31" i="5"/>
  <c r="T31" i="5" s="1"/>
  <c r="Q31" i="5"/>
  <c r="P31" i="5"/>
  <c r="O31" i="5"/>
  <c r="L31" i="5"/>
  <c r="M31" i="5" s="1"/>
  <c r="U30" i="5"/>
  <c r="S30" i="5"/>
  <c r="T30" i="5" s="1"/>
  <c r="Q30" i="5"/>
  <c r="P30" i="5"/>
  <c r="O30" i="5"/>
  <c r="L30" i="5"/>
  <c r="U29" i="5"/>
  <c r="S29" i="5"/>
  <c r="T29" i="5" s="1"/>
  <c r="Q29" i="5"/>
  <c r="P29" i="5"/>
  <c r="O29" i="5"/>
  <c r="L29" i="5"/>
  <c r="M29" i="5" s="1"/>
  <c r="U28" i="5"/>
  <c r="S28" i="5"/>
  <c r="T28" i="5" s="1"/>
  <c r="Q28" i="5"/>
  <c r="P28" i="5"/>
  <c r="O28" i="5"/>
  <c r="L28" i="5"/>
  <c r="M28" i="5" s="1"/>
  <c r="U27" i="5"/>
  <c r="S27" i="5"/>
  <c r="T27" i="5" s="1"/>
  <c r="Q27" i="5"/>
  <c r="P27" i="5"/>
  <c r="O27" i="5"/>
  <c r="N27" i="5"/>
  <c r="L27" i="5"/>
  <c r="M27" i="5" s="1"/>
  <c r="U26" i="5"/>
  <c r="S26" i="5"/>
  <c r="T26" i="5" s="1"/>
  <c r="Q26" i="5"/>
  <c r="P26" i="5"/>
  <c r="O26" i="5"/>
  <c r="L26" i="5"/>
  <c r="U25" i="5"/>
  <c r="S25" i="5"/>
  <c r="T25" i="5" s="1"/>
  <c r="Q25" i="5"/>
  <c r="P25" i="5"/>
  <c r="O25" i="5"/>
  <c r="N25" i="5"/>
  <c r="L25" i="5"/>
  <c r="M25" i="5" s="1"/>
  <c r="U24" i="5"/>
  <c r="S24" i="5"/>
  <c r="T24" i="5" s="1"/>
  <c r="Q24" i="5"/>
  <c r="P24" i="5"/>
  <c r="O24" i="5"/>
  <c r="L24" i="5"/>
  <c r="M24" i="5" s="1"/>
  <c r="U23" i="5"/>
  <c r="S23" i="5"/>
  <c r="T23" i="5" s="1"/>
  <c r="Q23" i="5"/>
  <c r="P23" i="5"/>
  <c r="O23" i="5"/>
  <c r="L23" i="5"/>
  <c r="M23" i="5" s="1"/>
  <c r="N23" i="5" s="1"/>
  <c r="U22" i="5"/>
  <c r="S22" i="5"/>
  <c r="T22" i="5" s="1"/>
  <c r="Q22" i="5"/>
  <c r="P22" i="5"/>
  <c r="O22" i="5"/>
  <c r="L22" i="5"/>
  <c r="M22" i="5" s="1"/>
  <c r="U21" i="5"/>
  <c r="S21" i="5"/>
  <c r="T21" i="5" s="1"/>
  <c r="Q21" i="5"/>
  <c r="P21" i="5"/>
  <c r="O21" i="5"/>
  <c r="N21" i="5"/>
  <c r="L21" i="5"/>
  <c r="M21" i="5" s="1"/>
  <c r="U20" i="5"/>
  <c r="S20" i="5"/>
  <c r="T20" i="5" s="1"/>
  <c r="Q20" i="5"/>
  <c r="P20" i="5"/>
  <c r="O20" i="5"/>
  <c r="L20" i="5"/>
  <c r="M20" i="5" s="1"/>
  <c r="U19" i="5"/>
  <c r="S19" i="5"/>
  <c r="T19" i="5" s="1"/>
  <c r="Q19" i="5"/>
  <c r="P19" i="5"/>
  <c r="O19" i="5"/>
  <c r="L19" i="5"/>
  <c r="M19" i="5" s="1"/>
  <c r="U18" i="5"/>
  <c r="S18" i="5"/>
  <c r="T18" i="5" s="1"/>
  <c r="Q18" i="5"/>
  <c r="P18" i="5"/>
  <c r="O18" i="5"/>
  <c r="N18" i="5"/>
  <c r="L18" i="5"/>
  <c r="M18" i="5" s="1"/>
  <c r="U17" i="5"/>
  <c r="S17" i="5"/>
  <c r="T17" i="5" s="1"/>
  <c r="Q17" i="5"/>
  <c r="P17" i="5"/>
  <c r="O17" i="5"/>
  <c r="L17" i="5"/>
  <c r="M17" i="5" s="1"/>
  <c r="U16" i="5"/>
  <c r="S16" i="5"/>
  <c r="T16" i="5" s="1"/>
  <c r="Q16" i="5"/>
  <c r="P16" i="5"/>
  <c r="O16" i="5"/>
  <c r="L16" i="5"/>
  <c r="M16" i="5" s="1"/>
  <c r="U15" i="5"/>
  <c r="S15" i="5"/>
  <c r="T15" i="5" s="1"/>
  <c r="Q15" i="5"/>
  <c r="P15" i="5"/>
  <c r="O15" i="5"/>
  <c r="L15" i="5"/>
  <c r="M15" i="5" s="1"/>
  <c r="U14" i="5"/>
  <c r="S14" i="5"/>
  <c r="T14" i="5" s="1"/>
  <c r="Q14" i="5"/>
  <c r="P14" i="5"/>
  <c r="O14" i="5"/>
  <c r="L14" i="5"/>
  <c r="M14" i="5" s="1"/>
  <c r="U13" i="5"/>
  <c r="S13" i="5"/>
  <c r="T13" i="5" s="1"/>
  <c r="Q13" i="5"/>
  <c r="P13" i="5"/>
  <c r="O13" i="5"/>
  <c r="L13" i="5"/>
  <c r="M13" i="5" s="1"/>
  <c r="N13" i="5" s="1"/>
  <c r="U12" i="5"/>
  <c r="S12" i="5"/>
  <c r="T12" i="5" s="1"/>
  <c r="Q12" i="5"/>
  <c r="P12" i="5"/>
  <c r="O12" i="5"/>
  <c r="L12" i="5"/>
  <c r="U11" i="5"/>
  <c r="S11" i="5"/>
  <c r="T11" i="5" s="1"/>
  <c r="Q11" i="5"/>
  <c r="P11" i="5"/>
  <c r="O11" i="5"/>
  <c r="L11" i="5"/>
  <c r="M11" i="5" s="1"/>
  <c r="U10" i="5"/>
  <c r="S10" i="5"/>
  <c r="T10" i="5" s="1"/>
  <c r="Q10" i="5"/>
  <c r="P10" i="5"/>
  <c r="O10" i="5"/>
  <c r="L10" i="5"/>
  <c r="M10" i="5" s="1"/>
  <c r="U9" i="5"/>
  <c r="S9" i="5"/>
  <c r="T9" i="5" s="1"/>
  <c r="Q9" i="5"/>
  <c r="P9" i="5"/>
  <c r="O9" i="5"/>
  <c r="L9" i="5"/>
  <c r="M9" i="5" s="1"/>
  <c r="U8" i="5"/>
  <c r="S8" i="5"/>
  <c r="T8" i="5" s="1"/>
  <c r="Q8" i="5"/>
  <c r="P8" i="5"/>
  <c r="O8" i="5"/>
  <c r="L8" i="5"/>
  <c r="U7" i="5"/>
  <c r="S7" i="5"/>
  <c r="T7" i="5" s="1"/>
  <c r="Q7" i="5"/>
  <c r="P7" i="5"/>
  <c r="O7" i="5"/>
  <c r="N7" i="5"/>
  <c r="L7" i="5"/>
  <c r="M7" i="5" s="1"/>
  <c r="U6" i="5"/>
  <c r="S6" i="5"/>
  <c r="T6" i="5" s="1"/>
  <c r="Q6" i="5"/>
  <c r="P6" i="5"/>
  <c r="O6" i="5"/>
  <c r="L6" i="5"/>
  <c r="M6" i="5" s="1"/>
  <c r="U5" i="5"/>
  <c r="S5" i="5"/>
  <c r="T5" i="5" s="1"/>
  <c r="Q5" i="5"/>
  <c r="P5" i="5"/>
  <c r="O5" i="5"/>
  <c r="L5" i="5"/>
  <c r="U4" i="5"/>
  <c r="S4" i="5"/>
  <c r="T4" i="5" s="1"/>
  <c r="Q4" i="5"/>
  <c r="P4" i="5"/>
  <c r="O4" i="5"/>
  <c r="L4" i="5"/>
  <c r="U3" i="5"/>
  <c r="S3" i="5"/>
  <c r="T3" i="5" s="1"/>
  <c r="Q3" i="5"/>
  <c r="P3" i="5"/>
  <c r="O3" i="5"/>
  <c r="L3" i="5"/>
  <c r="U2" i="5"/>
  <c r="S2" i="5"/>
  <c r="T2" i="5" s="1"/>
  <c r="Q2" i="5"/>
  <c r="P2" i="5"/>
  <c r="O2" i="5"/>
  <c r="L2" i="5"/>
  <c r="M2" i="5" s="1"/>
  <c r="L592" i="3"/>
  <c r="K592" i="3"/>
  <c r="J592" i="3"/>
  <c r="I592" i="3"/>
  <c r="H592" i="3"/>
  <c r="I591" i="3"/>
  <c r="J591" i="3" s="1"/>
  <c r="H591" i="3"/>
  <c r="K590" i="3"/>
  <c r="J590" i="3"/>
  <c r="L590" i="3" s="1"/>
  <c r="I590" i="3"/>
  <c r="H590" i="3"/>
  <c r="I589" i="3"/>
  <c r="J589" i="3" s="1"/>
  <c r="H589" i="3"/>
  <c r="I588" i="3"/>
  <c r="J588" i="3" s="1"/>
  <c r="L588" i="3" s="1"/>
  <c r="H588" i="3"/>
  <c r="K588" i="3" s="1"/>
  <c r="K587" i="3"/>
  <c r="I587" i="3"/>
  <c r="J587" i="3" s="1"/>
  <c r="L587" i="3" s="1"/>
  <c r="H587" i="3"/>
  <c r="I586" i="3"/>
  <c r="J586" i="3" s="1"/>
  <c r="H586" i="3"/>
  <c r="L585" i="3"/>
  <c r="K585" i="3"/>
  <c r="I585" i="3"/>
  <c r="J585" i="3" s="1"/>
  <c r="H585" i="3"/>
  <c r="I584" i="3"/>
  <c r="J584" i="3" s="1"/>
  <c r="H584" i="3"/>
  <c r="K583" i="3"/>
  <c r="J583" i="3"/>
  <c r="I583" i="3"/>
  <c r="H583" i="3"/>
  <c r="J582" i="3"/>
  <c r="I582" i="3"/>
  <c r="H582" i="3"/>
  <c r="L581" i="3"/>
  <c r="I581" i="3"/>
  <c r="J581" i="3" s="1"/>
  <c r="H581" i="3"/>
  <c r="K581" i="3" s="1"/>
  <c r="L580" i="3"/>
  <c r="K580" i="3"/>
  <c r="J580" i="3"/>
  <c r="I580" i="3"/>
  <c r="H580" i="3"/>
  <c r="I579" i="3"/>
  <c r="J579" i="3" s="1"/>
  <c r="H579" i="3"/>
  <c r="L578" i="3"/>
  <c r="K578" i="3"/>
  <c r="J578" i="3"/>
  <c r="I578" i="3"/>
  <c r="H578" i="3"/>
  <c r="J577" i="3"/>
  <c r="I577" i="3"/>
  <c r="H577" i="3"/>
  <c r="I576" i="3"/>
  <c r="J576" i="3" s="1"/>
  <c r="H576" i="3"/>
  <c r="K575" i="3"/>
  <c r="J575" i="3"/>
  <c r="L575" i="3" s="1"/>
  <c r="I575" i="3"/>
  <c r="H575" i="3"/>
  <c r="I574" i="3"/>
  <c r="J574" i="3" s="1"/>
  <c r="H574" i="3"/>
  <c r="L573" i="3"/>
  <c r="I573" i="3"/>
  <c r="J573" i="3" s="1"/>
  <c r="H573" i="3"/>
  <c r="K573" i="3" s="1"/>
  <c r="K572" i="3"/>
  <c r="I572" i="3"/>
  <c r="J572" i="3" s="1"/>
  <c r="L572" i="3" s="1"/>
  <c r="H572" i="3"/>
  <c r="I571" i="3"/>
  <c r="J571" i="3" s="1"/>
  <c r="H571" i="3"/>
  <c r="L570" i="3"/>
  <c r="K570" i="3"/>
  <c r="J570" i="3"/>
  <c r="I570" i="3"/>
  <c r="H570" i="3"/>
  <c r="K569" i="3"/>
  <c r="J569" i="3"/>
  <c r="I569" i="3"/>
  <c r="H569" i="3"/>
  <c r="L569" i="3" s="1"/>
  <c r="I568" i="3"/>
  <c r="J568" i="3" s="1"/>
  <c r="H568" i="3"/>
  <c r="K567" i="3"/>
  <c r="J567" i="3"/>
  <c r="L567" i="3" s="1"/>
  <c r="I567" i="3"/>
  <c r="H567" i="3"/>
  <c r="I566" i="3"/>
  <c r="J566" i="3" s="1"/>
  <c r="H566" i="3"/>
  <c r="I565" i="3"/>
  <c r="J565" i="3" s="1"/>
  <c r="L565" i="3" s="1"/>
  <c r="H565" i="3"/>
  <c r="K565" i="3" s="1"/>
  <c r="K564" i="3"/>
  <c r="I564" i="3"/>
  <c r="J564" i="3" s="1"/>
  <c r="L564" i="3" s="1"/>
  <c r="H564" i="3"/>
  <c r="I563" i="3"/>
  <c r="J563" i="3" s="1"/>
  <c r="H563" i="3"/>
  <c r="L562" i="3"/>
  <c r="K562" i="3"/>
  <c r="J562" i="3"/>
  <c r="I562" i="3"/>
  <c r="H562" i="3"/>
  <c r="I561" i="3"/>
  <c r="J561" i="3" s="1"/>
  <c r="H561" i="3"/>
  <c r="I560" i="3"/>
  <c r="J560" i="3" s="1"/>
  <c r="H560" i="3"/>
  <c r="K559" i="3"/>
  <c r="J559" i="3"/>
  <c r="L559" i="3" s="1"/>
  <c r="I559" i="3"/>
  <c r="H559" i="3"/>
  <c r="J558" i="3"/>
  <c r="I558" i="3"/>
  <c r="H558" i="3"/>
  <c r="I557" i="3"/>
  <c r="J557" i="3" s="1"/>
  <c r="L557" i="3" s="1"/>
  <c r="H557" i="3"/>
  <c r="K557" i="3" s="1"/>
  <c r="K556" i="3"/>
  <c r="J556" i="3"/>
  <c r="L556" i="3" s="1"/>
  <c r="I556" i="3"/>
  <c r="H556" i="3"/>
  <c r="I555" i="3"/>
  <c r="J555" i="3" s="1"/>
  <c r="H555" i="3"/>
  <c r="L554" i="3"/>
  <c r="K554" i="3"/>
  <c r="J554" i="3"/>
  <c r="I554" i="3"/>
  <c r="H554" i="3"/>
  <c r="I553" i="3"/>
  <c r="J553" i="3" s="1"/>
  <c r="H553" i="3"/>
  <c r="I552" i="3"/>
  <c r="J552" i="3" s="1"/>
  <c r="H552" i="3"/>
  <c r="L551" i="3"/>
  <c r="K551" i="3"/>
  <c r="J551" i="3"/>
  <c r="I551" i="3"/>
  <c r="H551" i="3"/>
  <c r="I550" i="3"/>
  <c r="J550" i="3" s="1"/>
  <c r="H550" i="3"/>
  <c r="L549" i="3"/>
  <c r="I549" i="3"/>
  <c r="J549" i="3" s="1"/>
  <c r="H549" i="3"/>
  <c r="K549" i="3" s="1"/>
  <c r="K548" i="3"/>
  <c r="I548" i="3"/>
  <c r="J548" i="3" s="1"/>
  <c r="L548" i="3" s="1"/>
  <c r="H548" i="3"/>
  <c r="I547" i="3"/>
  <c r="J547" i="3" s="1"/>
  <c r="H547" i="3"/>
  <c r="L546" i="3"/>
  <c r="K546" i="3"/>
  <c r="J546" i="3"/>
  <c r="I546" i="3"/>
  <c r="H546" i="3"/>
  <c r="K545" i="3"/>
  <c r="J545" i="3"/>
  <c r="I545" i="3"/>
  <c r="H545" i="3"/>
  <c r="I544" i="3"/>
  <c r="J544" i="3" s="1"/>
  <c r="H544" i="3"/>
  <c r="K543" i="3"/>
  <c r="J543" i="3"/>
  <c r="L543" i="3" s="1"/>
  <c r="I543" i="3"/>
  <c r="H543" i="3"/>
  <c r="I542" i="3"/>
  <c r="J542" i="3" s="1"/>
  <c r="H542" i="3"/>
  <c r="I541" i="3"/>
  <c r="J541" i="3" s="1"/>
  <c r="L541" i="3" s="1"/>
  <c r="H541" i="3"/>
  <c r="K541" i="3" s="1"/>
  <c r="K540" i="3"/>
  <c r="I540" i="3"/>
  <c r="J540" i="3" s="1"/>
  <c r="L540" i="3" s="1"/>
  <c r="H540" i="3"/>
  <c r="I539" i="3"/>
  <c r="J539" i="3" s="1"/>
  <c r="H539" i="3"/>
  <c r="L538" i="3"/>
  <c r="K538" i="3"/>
  <c r="J538" i="3"/>
  <c r="I538" i="3"/>
  <c r="H538" i="3"/>
  <c r="I537" i="3"/>
  <c r="J537" i="3" s="1"/>
  <c r="H537" i="3"/>
  <c r="L537" i="3" s="1"/>
  <c r="I536" i="3"/>
  <c r="J536" i="3" s="1"/>
  <c r="H536" i="3"/>
  <c r="K535" i="3"/>
  <c r="J535" i="3"/>
  <c r="L535" i="3" s="1"/>
  <c r="I535" i="3"/>
  <c r="H535" i="3"/>
  <c r="J534" i="3"/>
  <c r="I534" i="3"/>
  <c r="H534" i="3"/>
  <c r="I533" i="3"/>
  <c r="J533" i="3" s="1"/>
  <c r="L533" i="3" s="1"/>
  <c r="H533" i="3"/>
  <c r="K533" i="3" s="1"/>
  <c r="K532" i="3"/>
  <c r="I532" i="3"/>
  <c r="J532" i="3" s="1"/>
  <c r="L532" i="3" s="1"/>
  <c r="H532" i="3"/>
  <c r="I531" i="3"/>
  <c r="J531" i="3" s="1"/>
  <c r="H531" i="3"/>
  <c r="K530" i="3"/>
  <c r="I530" i="3"/>
  <c r="J530" i="3" s="1"/>
  <c r="L530" i="3" s="1"/>
  <c r="H530" i="3"/>
  <c r="K529" i="3"/>
  <c r="J529" i="3"/>
  <c r="I529" i="3"/>
  <c r="H529" i="3"/>
  <c r="L529" i="3" s="1"/>
  <c r="I528" i="3"/>
  <c r="J528" i="3" s="1"/>
  <c r="H528" i="3"/>
  <c r="L528" i="3" s="1"/>
  <c r="L527" i="3"/>
  <c r="K527" i="3"/>
  <c r="J527" i="3"/>
  <c r="I527" i="3"/>
  <c r="H527" i="3"/>
  <c r="J526" i="3"/>
  <c r="I526" i="3"/>
  <c r="H526" i="3"/>
  <c r="J525" i="3"/>
  <c r="L525" i="3" s="1"/>
  <c r="I525" i="3"/>
  <c r="H525" i="3"/>
  <c r="K525" i="3" s="1"/>
  <c r="K524" i="3"/>
  <c r="I524" i="3"/>
  <c r="J524" i="3" s="1"/>
  <c r="L524" i="3" s="1"/>
  <c r="H524" i="3"/>
  <c r="L523" i="3"/>
  <c r="I523" i="3"/>
  <c r="J523" i="3" s="1"/>
  <c r="H523" i="3"/>
  <c r="K523" i="3" s="1"/>
  <c r="I522" i="3"/>
  <c r="J522" i="3" s="1"/>
  <c r="H522" i="3"/>
  <c r="K522" i="3" s="1"/>
  <c r="K521" i="3"/>
  <c r="J521" i="3"/>
  <c r="I521" i="3"/>
  <c r="H521" i="3"/>
  <c r="L521" i="3" s="1"/>
  <c r="J520" i="3"/>
  <c r="I520" i="3"/>
  <c r="H520" i="3"/>
  <c r="L520" i="3" s="1"/>
  <c r="L519" i="3"/>
  <c r="J519" i="3"/>
  <c r="I519" i="3"/>
  <c r="H519" i="3"/>
  <c r="K519" i="3" s="1"/>
  <c r="I518" i="3"/>
  <c r="J518" i="3" s="1"/>
  <c r="H518" i="3"/>
  <c r="I517" i="3"/>
  <c r="J517" i="3" s="1"/>
  <c r="L517" i="3" s="1"/>
  <c r="H517" i="3"/>
  <c r="K517" i="3" s="1"/>
  <c r="K516" i="3"/>
  <c r="J516" i="3"/>
  <c r="L516" i="3" s="1"/>
  <c r="I516" i="3"/>
  <c r="H516" i="3"/>
  <c r="K515" i="3"/>
  <c r="I515" i="3"/>
  <c r="J515" i="3" s="1"/>
  <c r="H515" i="3"/>
  <c r="L515" i="3" s="1"/>
  <c r="K514" i="3"/>
  <c r="I514" i="3"/>
  <c r="J514" i="3" s="1"/>
  <c r="L514" i="3" s="1"/>
  <c r="H514" i="3"/>
  <c r="I513" i="3"/>
  <c r="J513" i="3" s="1"/>
  <c r="H513" i="3"/>
  <c r="K512" i="3"/>
  <c r="J512" i="3"/>
  <c r="I512" i="3"/>
  <c r="H512" i="3"/>
  <c r="J511" i="3"/>
  <c r="I511" i="3"/>
  <c r="H511" i="3"/>
  <c r="J510" i="3"/>
  <c r="L510" i="3" s="1"/>
  <c r="I510" i="3"/>
  <c r="H510" i="3"/>
  <c r="K510" i="3" s="1"/>
  <c r="J509" i="3"/>
  <c r="L509" i="3" s="1"/>
  <c r="I509" i="3"/>
  <c r="H509" i="3"/>
  <c r="K509" i="3" s="1"/>
  <c r="L508" i="3"/>
  <c r="K508" i="3"/>
  <c r="J508" i="3"/>
  <c r="I508" i="3"/>
  <c r="H508" i="3"/>
  <c r="I507" i="3"/>
  <c r="J507" i="3" s="1"/>
  <c r="L507" i="3" s="1"/>
  <c r="H507" i="3"/>
  <c r="K507" i="3" s="1"/>
  <c r="L506" i="3"/>
  <c r="I506" i="3"/>
  <c r="J506" i="3" s="1"/>
  <c r="H506" i="3"/>
  <c r="K506" i="3" s="1"/>
  <c r="K505" i="3"/>
  <c r="I505" i="3"/>
  <c r="J505" i="3" s="1"/>
  <c r="H505" i="3"/>
  <c r="L505" i="3" s="1"/>
  <c r="K504" i="3"/>
  <c r="J504" i="3"/>
  <c r="I504" i="3"/>
  <c r="H504" i="3"/>
  <c r="L504" i="3" s="1"/>
  <c r="J503" i="3"/>
  <c r="L503" i="3" s="1"/>
  <c r="I503" i="3"/>
  <c r="H503" i="3"/>
  <c r="K503" i="3" s="1"/>
  <c r="I502" i="3"/>
  <c r="J502" i="3" s="1"/>
  <c r="H502" i="3"/>
  <c r="I501" i="3"/>
  <c r="J501" i="3" s="1"/>
  <c r="L501" i="3" s="1"/>
  <c r="H501" i="3"/>
  <c r="K501" i="3" s="1"/>
  <c r="K500" i="3"/>
  <c r="I500" i="3"/>
  <c r="J500" i="3" s="1"/>
  <c r="L500" i="3" s="1"/>
  <c r="H500" i="3"/>
  <c r="L499" i="3"/>
  <c r="K499" i="3"/>
  <c r="I499" i="3"/>
  <c r="J499" i="3" s="1"/>
  <c r="H499" i="3"/>
  <c r="K498" i="3"/>
  <c r="I498" i="3"/>
  <c r="J498" i="3" s="1"/>
  <c r="H498" i="3"/>
  <c r="K497" i="3"/>
  <c r="J497" i="3"/>
  <c r="I497" i="3"/>
  <c r="H497" i="3"/>
  <c r="J496" i="3"/>
  <c r="I496" i="3"/>
  <c r="H496" i="3"/>
  <c r="K495" i="3"/>
  <c r="J495" i="3"/>
  <c r="L495" i="3" s="1"/>
  <c r="I495" i="3"/>
  <c r="H495" i="3"/>
  <c r="J494" i="3"/>
  <c r="I494" i="3"/>
  <c r="H494" i="3"/>
  <c r="J493" i="3"/>
  <c r="L493" i="3" s="1"/>
  <c r="I493" i="3"/>
  <c r="H493" i="3"/>
  <c r="K493" i="3" s="1"/>
  <c r="K492" i="3"/>
  <c r="I492" i="3"/>
  <c r="J492" i="3" s="1"/>
  <c r="L492" i="3" s="1"/>
  <c r="H492" i="3"/>
  <c r="L491" i="3"/>
  <c r="I491" i="3"/>
  <c r="J491" i="3" s="1"/>
  <c r="H491" i="3"/>
  <c r="K491" i="3" s="1"/>
  <c r="L490" i="3"/>
  <c r="I490" i="3"/>
  <c r="J490" i="3" s="1"/>
  <c r="H490" i="3"/>
  <c r="K490" i="3" s="1"/>
  <c r="K489" i="3"/>
  <c r="J489" i="3"/>
  <c r="I489" i="3"/>
  <c r="H489" i="3"/>
  <c r="L489" i="3" s="1"/>
  <c r="K488" i="3"/>
  <c r="J488" i="3"/>
  <c r="I488" i="3"/>
  <c r="H488" i="3"/>
  <c r="L488" i="3" s="1"/>
  <c r="J487" i="3"/>
  <c r="I487" i="3"/>
  <c r="H487" i="3"/>
  <c r="K487" i="3" s="1"/>
  <c r="I486" i="3"/>
  <c r="J486" i="3" s="1"/>
  <c r="H486" i="3"/>
  <c r="I485" i="3"/>
  <c r="J485" i="3" s="1"/>
  <c r="L485" i="3" s="1"/>
  <c r="H485" i="3"/>
  <c r="K485" i="3" s="1"/>
  <c r="K484" i="3"/>
  <c r="J484" i="3"/>
  <c r="L484" i="3" s="1"/>
  <c r="I484" i="3"/>
  <c r="H484" i="3"/>
  <c r="J483" i="3"/>
  <c r="I483" i="3"/>
  <c r="H483" i="3"/>
  <c r="L482" i="3"/>
  <c r="K482" i="3"/>
  <c r="I482" i="3"/>
  <c r="J482" i="3" s="1"/>
  <c r="H482" i="3"/>
  <c r="K481" i="3"/>
  <c r="I481" i="3"/>
  <c r="J481" i="3" s="1"/>
  <c r="H481" i="3"/>
  <c r="K480" i="3"/>
  <c r="J480" i="3"/>
  <c r="I480" i="3"/>
  <c r="H480" i="3"/>
  <c r="L480" i="3" s="1"/>
  <c r="J479" i="3"/>
  <c r="L479" i="3" s="1"/>
  <c r="I479" i="3"/>
  <c r="H479" i="3"/>
  <c r="K479" i="3" s="1"/>
  <c r="I478" i="3"/>
  <c r="J478" i="3" s="1"/>
  <c r="H478" i="3"/>
  <c r="L478" i="3" s="1"/>
  <c r="J477" i="3"/>
  <c r="L477" i="3" s="1"/>
  <c r="I477" i="3"/>
  <c r="H477" i="3"/>
  <c r="K477" i="3" s="1"/>
  <c r="K476" i="3"/>
  <c r="J476" i="3"/>
  <c r="L476" i="3" s="1"/>
  <c r="I476" i="3"/>
  <c r="H476" i="3"/>
  <c r="L475" i="3"/>
  <c r="K475" i="3"/>
  <c r="J475" i="3"/>
  <c r="I475" i="3"/>
  <c r="H475" i="3"/>
  <c r="I474" i="3"/>
  <c r="J474" i="3" s="1"/>
  <c r="H474" i="3"/>
  <c r="K474" i="3" s="1"/>
  <c r="I473" i="3"/>
  <c r="J473" i="3" s="1"/>
  <c r="H473" i="3"/>
  <c r="L472" i="3"/>
  <c r="K472" i="3"/>
  <c r="J472" i="3"/>
  <c r="I472" i="3"/>
  <c r="H472" i="3"/>
  <c r="K471" i="3"/>
  <c r="I471" i="3"/>
  <c r="J471" i="3" s="1"/>
  <c r="H471" i="3"/>
  <c r="I470" i="3"/>
  <c r="J470" i="3" s="1"/>
  <c r="L470" i="3" s="1"/>
  <c r="H470" i="3"/>
  <c r="K470" i="3" s="1"/>
  <c r="K469" i="3"/>
  <c r="I469" i="3"/>
  <c r="J469" i="3" s="1"/>
  <c r="L469" i="3" s="1"/>
  <c r="H469" i="3"/>
  <c r="J468" i="3"/>
  <c r="I468" i="3"/>
  <c r="H468" i="3"/>
  <c r="L467" i="3"/>
  <c r="K467" i="3"/>
  <c r="J467" i="3"/>
  <c r="I467" i="3"/>
  <c r="H467" i="3"/>
  <c r="I466" i="3"/>
  <c r="J466" i="3" s="1"/>
  <c r="L466" i="3" s="1"/>
  <c r="H466" i="3"/>
  <c r="K466" i="3" s="1"/>
  <c r="I465" i="3"/>
  <c r="J465" i="3" s="1"/>
  <c r="H465" i="3"/>
  <c r="L465" i="3" s="1"/>
  <c r="L464" i="3"/>
  <c r="K464" i="3"/>
  <c r="J464" i="3"/>
  <c r="I464" i="3"/>
  <c r="H464" i="3"/>
  <c r="I463" i="3"/>
  <c r="J463" i="3" s="1"/>
  <c r="H463" i="3"/>
  <c r="L463" i="3" s="1"/>
  <c r="I462" i="3"/>
  <c r="J462" i="3" s="1"/>
  <c r="L462" i="3" s="1"/>
  <c r="H462" i="3"/>
  <c r="K462" i="3" s="1"/>
  <c r="K461" i="3"/>
  <c r="J461" i="3"/>
  <c r="L461" i="3" s="1"/>
  <c r="I461" i="3"/>
  <c r="H461" i="3"/>
  <c r="J460" i="3"/>
  <c r="I460" i="3"/>
  <c r="H460" i="3"/>
  <c r="L459" i="3"/>
  <c r="K459" i="3"/>
  <c r="J459" i="3"/>
  <c r="I459" i="3"/>
  <c r="H459" i="3"/>
  <c r="I458" i="3"/>
  <c r="J458" i="3" s="1"/>
  <c r="H458" i="3"/>
  <c r="K458" i="3" s="1"/>
  <c r="I457" i="3"/>
  <c r="J457" i="3" s="1"/>
  <c r="H457" i="3"/>
  <c r="L457" i="3" s="1"/>
  <c r="K456" i="3"/>
  <c r="J456" i="3"/>
  <c r="L456" i="3" s="1"/>
  <c r="I456" i="3"/>
  <c r="H456" i="3"/>
  <c r="I455" i="3"/>
  <c r="J455" i="3" s="1"/>
  <c r="H455" i="3"/>
  <c r="L455" i="3" s="1"/>
  <c r="I454" i="3"/>
  <c r="J454" i="3" s="1"/>
  <c r="H454" i="3"/>
  <c r="K454" i="3" s="1"/>
  <c r="K453" i="3"/>
  <c r="J453" i="3"/>
  <c r="L453" i="3" s="1"/>
  <c r="I453" i="3"/>
  <c r="H453" i="3"/>
  <c r="J452" i="3"/>
  <c r="I452" i="3"/>
  <c r="H452" i="3"/>
  <c r="L451" i="3"/>
  <c r="K451" i="3"/>
  <c r="J451" i="3"/>
  <c r="I451" i="3"/>
  <c r="H451" i="3"/>
  <c r="I450" i="3"/>
  <c r="J450" i="3" s="1"/>
  <c r="H450" i="3"/>
  <c r="K450" i="3" s="1"/>
  <c r="I449" i="3"/>
  <c r="J449" i="3" s="1"/>
  <c r="H449" i="3"/>
  <c r="L448" i="3"/>
  <c r="K448" i="3"/>
  <c r="J448" i="3"/>
  <c r="I448" i="3"/>
  <c r="H448" i="3"/>
  <c r="K447" i="3"/>
  <c r="J447" i="3"/>
  <c r="I447" i="3"/>
  <c r="H447" i="3"/>
  <c r="L446" i="3"/>
  <c r="I446" i="3"/>
  <c r="J446" i="3" s="1"/>
  <c r="H446" i="3"/>
  <c r="K446" i="3" s="1"/>
  <c r="K445" i="3"/>
  <c r="J445" i="3"/>
  <c r="L445" i="3" s="1"/>
  <c r="I445" i="3"/>
  <c r="H445" i="3"/>
  <c r="J444" i="3"/>
  <c r="I444" i="3"/>
  <c r="H444" i="3"/>
  <c r="L443" i="3"/>
  <c r="K443" i="3"/>
  <c r="J443" i="3"/>
  <c r="I443" i="3"/>
  <c r="H443" i="3"/>
  <c r="I442" i="3"/>
  <c r="J442" i="3" s="1"/>
  <c r="L442" i="3" s="1"/>
  <c r="H442" i="3"/>
  <c r="K442" i="3" s="1"/>
  <c r="I441" i="3"/>
  <c r="J441" i="3" s="1"/>
  <c r="H441" i="3"/>
  <c r="L440" i="3"/>
  <c r="K440" i="3"/>
  <c r="J440" i="3"/>
  <c r="I440" i="3"/>
  <c r="H440" i="3"/>
  <c r="K439" i="3"/>
  <c r="J439" i="3"/>
  <c r="I439" i="3"/>
  <c r="H439" i="3"/>
  <c r="L438" i="3"/>
  <c r="I438" i="3"/>
  <c r="J438" i="3" s="1"/>
  <c r="H438" i="3"/>
  <c r="K438" i="3" s="1"/>
  <c r="K437" i="3"/>
  <c r="J437" i="3"/>
  <c r="L437" i="3" s="1"/>
  <c r="I437" i="3"/>
  <c r="H437" i="3"/>
  <c r="J436" i="3"/>
  <c r="I436" i="3"/>
  <c r="H436" i="3"/>
  <c r="L435" i="3"/>
  <c r="K435" i="3"/>
  <c r="J435" i="3"/>
  <c r="I435" i="3"/>
  <c r="H435" i="3"/>
  <c r="I434" i="3"/>
  <c r="J434" i="3" s="1"/>
  <c r="L434" i="3" s="1"/>
  <c r="H434" i="3"/>
  <c r="K434" i="3" s="1"/>
  <c r="I433" i="3"/>
  <c r="J433" i="3" s="1"/>
  <c r="H433" i="3"/>
  <c r="L432" i="3"/>
  <c r="K432" i="3"/>
  <c r="J432" i="3"/>
  <c r="I432" i="3"/>
  <c r="H432" i="3"/>
  <c r="K431" i="3"/>
  <c r="J431" i="3"/>
  <c r="I431" i="3"/>
  <c r="H431" i="3"/>
  <c r="L430" i="3"/>
  <c r="I430" i="3"/>
  <c r="J430" i="3" s="1"/>
  <c r="H430" i="3"/>
  <c r="K430" i="3" s="1"/>
  <c r="K429" i="3"/>
  <c r="J429" i="3"/>
  <c r="L429" i="3" s="1"/>
  <c r="I429" i="3"/>
  <c r="H429" i="3"/>
  <c r="J428" i="3"/>
  <c r="I428" i="3"/>
  <c r="H428" i="3"/>
  <c r="L427" i="3"/>
  <c r="K427" i="3"/>
  <c r="J427" i="3"/>
  <c r="I427" i="3"/>
  <c r="H427" i="3"/>
  <c r="I426" i="3"/>
  <c r="J426" i="3" s="1"/>
  <c r="L426" i="3" s="1"/>
  <c r="H426" i="3"/>
  <c r="K426" i="3" s="1"/>
  <c r="I425" i="3"/>
  <c r="J425" i="3" s="1"/>
  <c r="H425" i="3"/>
  <c r="L424" i="3"/>
  <c r="K424" i="3"/>
  <c r="J424" i="3"/>
  <c r="I424" i="3"/>
  <c r="H424" i="3"/>
  <c r="J423" i="3"/>
  <c r="I423" i="3"/>
  <c r="H423" i="3"/>
  <c r="L422" i="3"/>
  <c r="I422" i="3"/>
  <c r="J422" i="3" s="1"/>
  <c r="H422" i="3"/>
  <c r="K422" i="3" s="1"/>
  <c r="K421" i="3"/>
  <c r="J421" i="3"/>
  <c r="L421" i="3" s="1"/>
  <c r="I421" i="3"/>
  <c r="H421" i="3"/>
  <c r="J420" i="3"/>
  <c r="I420" i="3"/>
  <c r="H420" i="3"/>
  <c r="L419" i="3"/>
  <c r="K419" i="3"/>
  <c r="J419" i="3"/>
  <c r="I419" i="3"/>
  <c r="H419" i="3"/>
  <c r="I418" i="3"/>
  <c r="J418" i="3" s="1"/>
  <c r="H418" i="3"/>
  <c r="K418" i="3" s="1"/>
  <c r="I417" i="3"/>
  <c r="J417" i="3" s="1"/>
  <c r="H417" i="3"/>
  <c r="L416" i="3"/>
  <c r="K416" i="3"/>
  <c r="J416" i="3"/>
  <c r="I416" i="3"/>
  <c r="H416" i="3"/>
  <c r="J415" i="3"/>
  <c r="I415" i="3"/>
  <c r="H415" i="3"/>
  <c r="L414" i="3"/>
  <c r="I414" i="3"/>
  <c r="J414" i="3" s="1"/>
  <c r="H414" i="3"/>
  <c r="K414" i="3" s="1"/>
  <c r="K413" i="3"/>
  <c r="J413" i="3"/>
  <c r="L413" i="3" s="1"/>
  <c r="I413" i="3"/>
  <c r="H413" i="3"/>
  <c r="J412" i="3"/>
  <c r="I412" i="3"/>
  <c r="H412" i="3"/>
  <c r="L411" i="3"/>
  <c r="K411" i="3"/>
  <c r="J411" i="3"/>
  <c r="I411" i="3"/>
  <c r="H411" i="3"/>
  <c r="I410" i="3"/>
  <c r="J410" i="3" s="1"/>
  <c r="L410" i="3" s="1"/>
  <c r="H410" i="3"/>
  <c r="K410" i="3" s="1"/>
  <c r="I409" i="3"/>
  <c r="J409" i="3" s="1"/>
  <c r="H409" i="3"/>
  <c r="L408" i="3"/>
  <c r="K408" i="3"/>
  <c r="J408" i="3"/>
  <c r="I408" i="3"/>
  <c r="H408" i="3"/>
  <c r="J407" i="3"/>
  <c r="I407" i="3"/>
  <c r="H407" i="3"/>
  <c r="L406" i="3"/>
  <c r="I406" i="3"/>
  <c r="J406" i="3" s="1"/>
  <c r="H406" i="3"/>
  <c r="K406" i="3" s="1"/>
  <c r="K405" i="3"/>
  <c r="J405" i="3"/>
  <c r="L405" i="3" s="1"/>
  <c r="I405" i="3"/>
  <c r="H405" i="3"/>
  <c r="J404" i="3"/>
  <c r="I404" i="3"/>
  <c r="H404" i="3"/>
  <c r="L403" i="3"/>
  <c r="K403" i="3"/>
  <c r="J403" i="3"/>
  <c r="I403" i="3"/>
  <c r="H403" i="3"/>
  <c r="I402" i="3"/>
  <c r="J402" i="3" s="1"/>
  <c r="L402" i="3" s="1"/>
  <c r="H402" i="3"/>
  <c r="K402" i="3" s="1"/>
  <c r="I401" i="3"/>
  <c r="J401" i="3" s="1"/>
  <c r="H401" i="3"/>
  <c r="L400" i="3"/>
  <c r="K400" i="3"/>
  <c r="J400" i="3"/>
  <c r="I400" i="3"/>
  <c r="H400" i="3"/>
  <c r="J399" i="3"/>
  <c r="I399" i="3"/>
  <c r="H399" i="3"/>
  <c r="L398" i="3"/>
  <c r="I398" i="3"/>
  <c r="J398" i="3" s="1"/>
  <c r="H398" i="3"/>
  <c r="K398" i="3" s="1"/>
  <c r="K397" i="3"/>
  <c r="J397" i="3"/>
  <c r="L397" i="3" s="1"/>
  <c r="I397" i="3"/>
  <c r="H397" i="3"/>
  <c r="J396" i="3"/>
  <c r="I396" i="3"/>
  <c r="H396" i="3"/>
  <c r="L395" i="3"/>
  <c r="K395" i="3"/>
  <c r="J395" i="3"/>
  <c r="I395" i="3"/>
  <c r="H395" i="3"/>
  <c r="I394" i="3"/>
  <c r="J394" i="3" s="1"/>
  <c r="L394" i="3" s="1"/>
  <c r="H394" i="3"/>
  <c r="K394" i="3" s="1"/>
  <c r="I393" i="3"/>
  <c r="J393" i="3" s="1"/>
  <c r="H393" i="3"/>
  <c r="L392" i="3"/>
  <c r="K392" i="3"/>
  <c r="J392" i="3"/>
  <c r="I392" i="3"/>
  <c r="H392" i="3"/>
  <c r="J391" i="3"/>
  <c r="I391" i="3"/>
  <c r="H391" i="3"/>
  <c r="L391" i="3" s="1"/>
  <c r="L390" i="3"/>
  <c r="I390" i="3"/>
  <c r="J390" i="3" s="1"/>
  <c r="H390" i="3"/>
  <c r="K390" i="3" s="1"/>
  <c r="K389" i="3"/>
  <c r="J389" i="3"/>
  <c r="L389" i="3" s="1"/>
  <c r="I389" i="3"/>
  <c r="H389" i="3"/>
  <c r="K388" i="3"/>
  <c r="I388" i="3"/>
  <c r="J388" i="3" s="1"/>
  <c r="H388" i="3"/>
  <c r="K387" i="3"/>
  <c r="J387" i="3"/>
  <c r="I387" i="3"/>
  <c r="H387" i="3"/>
  <c r="L387" i="3" s="1"/>
  <c r="I386" i="3"/>
  <c r="J386" i="3" s="1"/>
  <c r="H386" i="3"/>
  <c r="I385" i="3"/>
  <c r="J385" i="3" s="1"/>
  <c r="H385" i="3"/>
  <c r="K384" i="3"/>
  <c r="J384" i="3"/>
  <c r="L384" i="3" s="1"/>
  <c r="I384" i="3"/>
  <c r="H384" i="3"/>
  <c r="L383" i="3"/>
  <c r="K383" i="3"/>
  <c r="J383" i="3"/>
  <c r="I383" i="3"/>
  <c r="H383" i="3"/>
  <c r="I382" i="3"/>
  <c r="J382" i="3" s="1"/>
  <c r="H382" i="3"/>
  <c r="K382" i="3" s="1"/>
  <c r="L381" i="3"/>
  <c r="K381" i="3"/>
  <c r="J381" i="3"/>
  <c r="I381" i="3"/>
  <c r="H381" i="3"/>
  <c r="I380" i="3"/>
  <c r="J380" i="3" s="1"/>
  <c r="H380" i="3"/>
  <c r="L379" i="3"/>
  <c r="K379" i="3"/>
  <c r="J379" i="3"/>
  <c r="I379" i="3"/>
  <c r="H379" i="3"/>
  <c r="K378" i="3"/>
  <c r="I378" i="3"/>
  <c r="J378" i="3" s="1"/>
  <c r="H378" i="3"/>
  <c r="L378" i="3" s="1"/>
  <c r="I377" i="3"/>
  <c r="J377" i="3" s="1"/>
  <c r="H377" i="3"/>
  <c r="K376" i="3"/>
  <c r="J376" i="3"/>
  <c r="L376" i="3" s="1"/>
  <c r="I376" i="3"/>
  <c r="H376" i="3"/>
  <c r="I375" i="3"/>
  <c r="J375" i="3" s="1"/>
  <c r="H375" i="3"/>
  <c r="L375" i="3" s="1"/>
  <c r="I374" i="3"/>
  <c r="J374" i="3" s="1"/>
  <c r="H374" i="3"/>
  <c r="K374" i="3" s="1"/>
  <c r="K373" i="3"/>
  <c r="I373" i="3"/>
  <c r="J373" i="3" s="1"/>
  <c r="L373" i="3" s="1"/>
  <c r="H373" i="3"/>
  <c r="K372" i="3"/>
  <c r="J372" i="3"/>
  <c r="I372" i="3"/>
  <c r="H372" i="3"/>
  <c r="J371" i="3"/>
  <c r="I371" i="3"/>
  <c r="H371" i="3"/>
  <c r="L371" i="3" s="1"/>
  <c r="K370" i="3"/>
  <c r="I370" i="3"/>
  <c r="J370" i="3" s="1"/>
  <c r="L370" i="3" s="1"/>
  <c r="H370" i="3"/>
  <c r="I369" i="3"/>
  <c r="J369" i="3" s="1"/>
  <c r="H369" i="3"/>
  <c r="L368" i="3"/>
  <c r="K368" i="3"/>
  <c r="J368" i="3"/>
  <c r="I368" i="3"/>
  <c r="H368" i="3"/>
  <c r="I367" i="3"/>
  <c r="J367" i="3" s="1"/>
  <c r="H367" i="3"/>
  <c r="L367" i="3" s="1"/>
  <c r="I366" i="3"/>
  <c r="J366" i="3" s="1"/>
  <c r="H366" i="3"/>
  <c r="K366" i="3" s="1"/>
  <c r="K365" i="3"/>
  <c r="I365" i="3"/>
  <c r="J365" i="3" s="1"/>
  <c r="L365" i="3" s="1"/>
  <c r="H365" i="3"/>
  <c r="I364" i="3"/>
  <c r="J364" i="3" s="1"/>
  <c r="H364" i="3"/>
  <c r="L363" i="3"/>
  <c r="K363" i="3"/>
  <c r="J363" i="3"/>
  <c r="I363" i="3"/>
  <c r="H363" i="3"/>
  <c r="I362" i="3"/>
  <c r="J362" i="3" s="1"/>
  <c r="H362" i="3"/>
  <c r="L362" i="3" s="1"/>
  <c r="J361" i="3"/>
  <c r="I361" i="3"/>
  <c r="H361" i="3"/>
  <c r="K360" i="3"/>
  <c r="J360" i="3"/>
  <c r="L360" i="3" s="1"/>
  <c r="I360" i="3"/>
  <c r="H360" i="3"/>
  <c r="K359" i="3"/>
  <c r="I359" i="3"/>
  <c r="J359" i="3" s="1"/>
  <c r="L359" i="3" s="1"/>
  <c r="H359" i="3"/>
  <c r="I358" i="3"/>
  <c r="J358" i="3" s="1"/>
  <c r="H358" i="3"/>
  <c r="K358" i="3" s="1"/>
  <c r="K357" i="3"/>
  <c r="I357" i="3"/>
  <c r="J357" i="3" s="1"/>
  <c r="L357" i="3" s="1"/>
  <c r="H357" i="3"/>
  <c r="I356" i="3"/>
  <c r="J356" i="3" s="1"/>
  <c r="H356" i="3"/>
  <c r="L355" i="3"/>
  <c r="J355" i="3"/>
  <c r="I355" i="3"/>
  <c r="H355" i="3"/>
  <c r="K355" i="3" s="1"/>
  <c r="K354" i="3"/>
  <c r="J354" i="3"/>
  <c r="L354" i="3" s="1"/>
  <c r="I354" i="3"/>
  <c r="H354" i="3"/>
  <c r="I353" i="3"/>
  <c r="J353" i="3" s="1"/>
  <c r="H353" i="3"/>
  <c r="K352" i="3"/>
  <c r="J352" i="3"/>
  <c r="L352" i="3" s="1"/>
  <c r="I352" i="3"/>
  <c r="H352" i="3"/>
  <c r="I351" i="3"/>
  <c r="J351" i="3" s="1"/>
  <c r="H351" i="3"/>
  <c r="L351" i="3" s="1"/>
  <c r="L350" i="3"/>
  <c r="I350" i="3"/>
  <c r="J350" i="3" s="1"/>
  <c r="H350" i="3"/>
  <c r="K350" i="3" s="1"/>
  <c r="K349" i="3"/>
  <c r="I349" i="3"/>
  <c r="J349" i="3" s="1"/>
  <c r="L349" i="3" s="1"/>
  <c r="H349" i="3"/>
  <c r="K348" i="3"/>
  <c r="J348" i="3"/>
  <c r="I348" i="3"/>
  <c r="H348" i="3"/>
  <c r="J347" i="3"/>
  <c r="I347" i="3"/>
  <c r="H347" i="3"/>
  <c r="L347" i="3" s="1"/>
  <c r="I346" i="3"/>
  <c r="J346" i="3" s="1"/>
  <c r="L346" i="3" s="1"/>
  <c r="H346" i="3"/>
  <c r="K346" i="3" s="1"/>
  <c r="I345" i="3"/>
  <c r="J345" i="3" s="1"/>
  <c r="H345" i="3"/>
  <c r="L344" i="3"/>
  <c r="K344" i="3"/>
  <c r="J344" i="3"/>
  <c r="I344" i="3"/>
  <c r="H344" i="3"/>
  <c r="K343" i="3"/>
  <c r="J343" i="3"/>
  <c r="L343" i="3" s="1"/>
  <c r="I343" i="3"/>
  <c r="H343" i="3"/>
  <c r="I342" i="3"/>
  <c r="J342" i="3" s="1"/>
  <c r="H342" i="3"/>
  <c r="K342" i="3" s="1"/>
  <c r="K341" i="3"/>
  <c r="J341" i="3"/>
  <c r="L341" i="3" s="1"/>
  <c r="I341" i="3"/>
  <c r="H341" i="3"/>
  <c r="I340" i="3"/>
  <c r="J340" i="3" s="1"/>
  <c r="H340" i="3"/>
  <c r="L339" i="3"/>
  <c r="K339" i="3"/>
  <c r="J339" i="3"/>
  <c r="I339" i="3"/>
  <c r="H339" i="3"/>
  <c r="I338" i="3"/>
  <c r="J338" i="3" s="1"/>
  <c r="H338" i="3"/>
  <c r="L338" i="3" s="1"/>
  <c r="J337" i="3"/>
  <c r="I337" i="3"/>
  <c r="H337" i="3"/>
  <c r="K336" i="3"/>
  <c r="J336" i="3"/>
  <c r="L336" i="3" s="1"/>
  <c r="I336" i="3"/>
  <c r="H336" i="3"/>
  <c r="I335" i="3"/>
  <c r="J335" i="3" s="1"/>
  <c r="L335" i="3" s="1"/>
  <c r="H335" i="3"/>
  <c r="K335" i="3" s="1"/>
  <c r="I334" i="3"/>
  <c r="J334" i="3" s="1"/>
  <c r="H334" i="3"/>
  <c r="K334" i="3" s="1"/>
  <c r="K333" i="3"/>
  <c r="I333" i="3"/>
  <c r="J333" i="3" s="1"/>
  <c r="L333" i="3" s="1"/>
  <c r="H333" i="3"/>
  <c r="I332" i="3"/>
  <c r="J332" i="3" s="1"/>
  <c r="H332" i="3"/>
  <c r="J331" i="3"/>
  <c r="I331" i="3"/>
  <c r="H331" i="3"/>
  <c r="L331" i="3" s="1"/>
  <c r="K330" i="3"/>
  <c r="J330" i="3"/>
  <c r="L330" i="3" s="1"/>
  <c r="I330" i="3"/>
  <c r="H330" i="3"/>
  <c r="I329" i="3"/>
  <c r="J329" i="3" s="1"/>
  <c r="H329" i="3"/>
  <c r="K328" i="3"/>
  <c r="J328" i="3"/>
  <c r="L328" i="3" s="1"/>
  <c r="I328" i="3"/>
  <c r="H328" i="3"/>
  <c r="I327" i="3"/>
  <c r="J327" i="3" s="1"/>
  <c r="H327" i="3"/>
  <c r="L327" i="3" s="1"/>
  <c r="L326" i="3"/>
  <c r="I326" i="3"/>
  <c r="J326" i="3" s="1"/>
  <c r="H326" i="3"/>
  <c r="K326" i="3" s="1"/>
  <c r="K325" i="3"/>
  <c r="I325" i="3"/>
  <c r="J325" i="3" s="1"/>
  <c r="L325" i="3" s="1"/>
  <c r="H325" i="3"/>
  <c r="K324" i="3"/>
  <c r="I324" i="3"/>
  <c r="J324" i="3" s="1"/>
  <c r="H324" i="3"/>
  <c r="J323" i="3"/>
  <c r="I323" i="3"/>
  <c r="H323" i="3"/>
  <c r="L323" i="3" s="1"/>
  <c r="I322" i="3"/>
  <c r="J322" i="3" s="1"/>
  <c r="H322" i="3"/>
  <c r="L322" i="3" s="1"/>
  <c r="I321" i="3"/>
  <c r="J321" i="3" s="1"/>
  <c r="H321" i="3"/>
  <c r="K320" i="3"/>
  <c r="J320" i="3"/>
  <c r="L320" i="3" s="1"/>
  <c r="I320" i="3"/>
  <c r="H320" i="3"/>
  <c r="K319" i="3"/>
  <c r="J319" i="3"/>
  <c r="L319" i="3" s="1"/>
  <c r="I319" i="3"/>
  <c r="H319" i="3"/>
  <c r="I318" i="3"/>
  <c r="J318" i="3" s="1"/>
  <c r="H318" i="3"/>
  <c r="K318" i="3" s="1"/>
  <c r="K317" i="3"/>
  <c r="J317" i="3"/>
  <c r="L317" i="3" s="1"/>
  <c r="I317" i="3"/>
  <c r="H317" i="3"/>
  <c r="I316" i="3"/>
  <c r="J316" i="3" s="1"/>
  <c r="H316" i="3"/>
  <c r="L315" i="3"/>
  <c r="K315" i="3"/>
  <c r="J315" i="3"/>
  <c r="I315" i="3"/>
  <c r="H315" i="3"/>
  <c r="I314" i="3"/>
  <c r="J314" i="3" s="1"/>
  <c r="H314" i="3"/>
  <c r="L314" i="3" s="1"/>
  <c r="I313" i="3"/>
  <c r="J313" i="3" s="1"/>
  <c r="H313" i="3"/>
  <c r="K312" i="3"/>
  <c r="J312" i="3"/>
  <c r="L312" i="3" s="1"/>
  <c r="I312" i="3"/>
  <c r="H312" i="3"/>
  <c r="I311" i="3"/>
  <c r="J311" i="3" s="1"/>
  <c r="H311" i="3"/>
  <c r="L311" i="3" s="1"/>
  <c r="I310" i="3"/>
  <c r="J310" i="3" s="1"/>
  <c r="H310" i="3"/>
  <c r="K310" i="3" s="1"/>
  <c r="K309" i="3"/>
  <c r="I309" i="3"/>
  <c r="J309" i="3" s="1"/>
  <c r="L309" i="3" s="1"/>
  <c r="H309" i="3"/>
  <c r="K308" i="3"/>
  <c r="I308" i="3"/>
  <c r="J308" i="3" s="1"/>
  <c r="H308" i="3"/>
  <c r="J307" i="3"/>
  <c r="I307" i="3"/>
  <c r="H307" i="3"/>
  <c r="L307" i="3" s="1"/>
  <c r="K306" i="3"/>
  <c r="I306" i="3"/>
  <c r="J306" i="3" s="1"/>
  <c r="L306" i="3" s="1"/>
  <c r="H306" i="3"/>
  <c r="I305" i="3"/>
  <c r="J305" i="3" s="1"/>
  <c r="H305" i="3"/>
  <c r="L304" i="3"/>
  <c r="K304" i="3"/>
  <c r="J304" i="3"/>
  <c r="I304" i="3"/>
  <c r="H304" i="3"/>
  <c r="I303" i="3"/>
  <c r="J303" i="3" s="1"/>
  <c r="H303" i="3"/>
  <c r="L303" i="3" s="1"/>
  <c r="I302" i="3"/>
  <c r="J302" i="3" s="1"/>
  <c r="H302" i="3"/>
  <c r="K302" i="3" s="1"/>
  <c r="K301" i="3"/>
  <c r="I301" i="3"/>
  <c r="J301" i="3" s="1"/>
  <c r="L301" i="3" s="1"/>
  <c r="H301" i="3"/>
  <c r="I300" i="3"/>
  <c r="J300" i="3" s="1"/>
  <c r="H300" i="3"/>
  <c r="L299" i="3"/>
  <c r="K299" i="3"/>
  <c r="J299" i="3"/>
  <c r="I299" i="3"/>
  <c r="H299" i="3"/>
  <c r="I298" i="3"/>
  <c r="J298" i="3" s="1"/>
  <c r="H298" i="3"/>
  <c r="K298" i="3" s="1"/>
  <c r="I297" i="3"/>
  <c r="J297" i="3" s="1"/>
  <c r="H297" i="3"/>
  <c r="K296" i="3"/>
  <c r="J296" i="3"/>
  <c r="L296" i="3" s="1"/>
  <c r="I296" i="3"/>
  <c r="H296" i="3"/>
  <c r="K295" i="3"/>
  <c r="I295" i="3"/>
  <c r="J295" i="3" s="1"/>
  <c r="L295" i="3" s="1"/>
  <c r="H295" i="3"/>
  <c r="I294" i="3"/>
  <c r="J294" i="3" s="1"/>
  <c r="H294" i="3"/>
  <c r="K294" i="3" s="1"/>
  <c r="K293" i="3"/>
  <c r="I293" i="3"/>
  <c r="J293" i="3" s="1"/>
  <c r="L293" i="3" s="1"/>
  <c r="H293" i="3"/>
  <c r="I292" i="3"/>
  <c r="J292" i="3" s="1"/>
  <c r="H292" i="3"/>
  <c r="L291" i="3"/>
  <c r="J291" i="3"/>
  <c r="I291" i="3"/>
  <c r="H291" i="3"/>
  <c r="K291" i="3" s="1"/>
  <c r="K290" i="3"/>
  <c r="I290" i="3"/>
  <c r="J290" i="3" s="1"/>
  <c r="L290" i="3" s="1"/>
  <c r="H290" i="3"/>
  <c r="I289" i="3"/>
  <c r="J289" i="3" s="1"/>
  <c r="H289" i="3"/>
  <c r="K288" i="3"/>
  <c r="J288" i="3"/>
  <c r="L288" i="3" s="1"/>
  <c r="I288" i="3"/>
  <c r="H288" i="3"/>
  <c r="I287" i="3"/>
  <c r="J287" i="3" s="1"/>
  <c r="H287" i="3"/>
  <c r="K287" i="3" s="1"/>
  <c r="I286" i="3"/>
  <c r="J286" i="3" s="1"/>
  <c r="L286" i="3" s="1"/>
  <c r="H286" i="3"/>
  <c r="K286" i="3" s="1"/>
  <c r="K285" i="3"/>
  <c r="I285" i="3"/>
  <c r="J285" i="3" s="1"/>
  <c r="L285" i="3" s="1"/>
  <c r="H285" i="3"/>
  <c r="K284" i="3"/>
  <c r="J284" i="3"/>
  <c r="I284" i="3"/>
  <c r="H284" i="3"/>
  <c r="J283" i="3"/>
  <c r="I283" i="3"/>
  <c r="H283" i="3"/>
  <c r="L283" i="3" s="1"/>
  <c r="I282" i="3"/>
  <c r="J282" i="3" s="1"/>
  <c r="L282" i="3" s="1"/>
  <c r="H282" i="3"/>
  <c r="K282" i="3" s="1"/>
  <c r="I281" i="3"/>
  <c r="J281" i="3" s="1"/>
  <c r="H281" i="3"/>
  <c r="L280" i="3"/>
  <c r="K280" i="3"/>
  <c r="J280" i="3"/>
  <c r="I280" i="3"/>
  <c r="H280" i="3"/>
  <c r="K279" i="3"/>
  <c r="I279" i="3"/>
  <c r="J279" i="3" s="1"/>
  <c r="L279" i="3" s="1"/>
  <c r="H279" i="3"/>
  <c r="I278" i="3"/>
  <c r="J278" i="3" s="1"/>
  <c r="H278" i="3"/>
  <c r="K278" i="3" s="1"/>
  <c r="K277" i="3"/>
  <c r="I277" i="3"/>
  <c r="J277" i="3" s="1"/>
  <c r="L277" i="3" s="1"/>
  <c r="H277" i="3"/>
  <c r="I276" i="3"/>
  <c r="J276" i="3" s="1"/>
  <c r="H276" i="3"/>
  <c r="K276" i="3" s="1"/>
  <c r="L275" i="3"/>
  <c r="K275" i="3"/>
  <c r="J275" i="3"/>
  <c r="I275" i="3"/>
  <c r="H275" i="3"/>
  <c r="I274" i="3"/>
  <c r="J274" i="3" s="1"/>
  <c r="H274" i="3"/>
  <c r="L274" i="3" s="1"/>
  <c r="J273" i="3"/>
  <c r="I273" i="3"/>
  <c r="H273" i="3"/>
  <c r="K272" i="3"/>
  <c r="J272" i="3"/>
  <c r="L272" i="3" s="1"/>
  <c r="I272" i="3"/>
  <c r="H272" i="3"/>
  <c r="I271" i="3"/>
  <c r="J271" i="3" s="1"/>
  <c r="L271" i="3" s="1"/>
  <c r="H271" i="3"/>
  <c r="K271" i="3" s="1"/>
  <c r="I270" i="3"/>
  <c r="J270" i="3" s="1"/>
  <c r="H270" i="3"/>
  <c r="K270" i="3" s="1"/>
  <c r="K269" i="3"/>
  <c r="I269" i="3"/>
  <c r="J269" i="3" s="1"/>
  <c r="L269" i="3" s="1"/>
  <c r="H269" i="3"/>
  <c r="I268" i="3"/>
  <c r="J268" i="3" s="1"/>
  <c r="H268" i="3"/>
  <c r="K268" i="3" s="1"/>
  <c r="J267" i="3"/>
  <c r="I267" i="3"/>
  <c r="H267" i="3"/>
  <c r="L267" i="3" s="1"/>
  <c r="K266" i="3"/>
  <c r="J266" i="3"/>
  <c r="L266" i="3" s="1"/>
  <c r="I266" i="3"/>
  <c r="H266" i="3"/>
  <c r="I265" i="3"/>
  <c r="J265" i="3" s="1"/>
  <c r="H265" i="3"/>
  <c r="K264" i="3"/>
  <c r="J264" i="3"/>
  <c r="L264" i="3" s="1"/>
  <c r="I264" i="3"/>
  <c r="H264" i="3"/>
  <c r="I263" i="3"/>
  <c r="J263" i="3" s="1"/>
  <c r="H263" i="3"/>
  <c r="K263" i="3" s="1"/>
  <c r="L262" i="3"/>
  <c r="I262" i="3"/>
  <c r="J262" i="3" s="1"/>
  <c r="H262" i="3"/>
  <c r="K262" i="3" s="1"/>
  <c r="K261" i="3"/>
  <c r="I261" i="3"/>
  <c r="J261" i="3" s="1"/>
  <c r="L261" i="3" s="1"/>
  <c r="H261" i="3"/>
  <c r="K260" i="3"/>
  <c r="I260" i="3"/>
  <c r="J260" i="3" s="1"/>
  <c r="H260" i="3"/>
  <c r="J259" i="3"/>
  <c r="I259" i="3"/>
  <c r="H259" i="3"/>
  <c r="L259" i="3" s="1"/>
  <c r="I258" i="3"/>
  <c r="J258" i="3" s="1"/>
  <c r="H258" i="3"/>
  <c r="L258" i="3" s="1"/>
  <c r="I257" i="3"/>
  <c r="J257" i="3" s="1"/>
  <c r="H257" i="3"/>
  <c r="K256" i="3"/>
  <c r="J256" i="3"/>
  <c r="L256" i="3" s="1"/>
  <c r="I256" i="3"/>
  <c r="H256" i="3"/>
  <c r="K255" i="3"/>
  <c r="J255" i="3"/>
  <c r="L255" i="3" s="1"/>
  <c r="I255" i="3"/>
  <c r="H255" i="3"/>
  <c r="I254" i="3"/>
  <c r="J254" i="3" s="1"/>
  <c r="H254" i="3"/>
  <c r="K254" i="3" s="1"/>
  <c r="K253" i="3"/>
  <c r="J253" i="3"/>
  <c r="L253" i="3" s="1"/>
  <c r="I253" i="3"/>
  <c r="H253" i="3"/>
  <c r="I252" i="3"/>
  <c r="J252" i="3" s="1"/>
  <c r="H252" i="3"/>
  <c r="L251" i="3"/>
  <c r="K251" i="3"/>
  <c r="J251" i="3"/>
  <c r="I251" i="3"/>
  <c r="H251" i="3"/>
  <c r="I250" i="3"/>
  <c r="J250" i="3" s="1"/>
  <c r="H250" i="3"/>
  <c r="L250" i="3" s="1"/>
  <c r="I249" i="3"/>
  <c r="J249" i="3" s="1"/>
  <c r="H249" i="3"/>
  <c r="K248" i="3"/>
  <c r="J248" i="3"/>
  <c r="L248" i="3" s="1"/>
  <c r="I248" i="3"/>
  <c r="H248" i="3"/>
  <c r="I247" i="3"/>
  <c r="J247" i="3" s="1"/>
  <c r="H247" i="3"/>
  <c r="L247" i="3" s="1"/>
  <c r="I246" i="3"/>
  <c r="J246" i="3" s="1"/>
  <c r="H246" i="3"/>
  <c r="K246" i="3" s="1"/>
  <c r="K245" i="3"/>
  <c r="I245" i="3"/>
  <c r="J245" i="3" s="1"/>
  <c r="L245" i="3" s="1"/>
  <c r="H245" i="3"/>
  <c r="K244" i="3"/>
  <c r="I244" i="3"/>
  <c r="J244" i="3" s="1"/>
  <c r="H244" i="3"/>
  <c r="J243" i="3"/>
  <c r="I243" i="3"/>
  <c r="H243" i="3"/>
  <c r="L243" i="3" s="1"/>
  <c r="K242" i="3"/>
  <c r="I242" i="3"/>
  <c r="J242" i="3" s="1"/>
  <c r="L242" i="3" s="1"/>
  <c r="H242" i="3"/>
  <c r="I241" i="3"/>
  <c r="J241" i="3" s="1"/>
  <c r="H241" i="3"/>
  <c r="L240" i="3"/>
  <c r="K240" i="3"/>
  <c r="J240" i="3"/>
  <c r="I240" i="3"/>
  <c r="H240" i="3"/>
  <c r="I239" i="3"/>
  <c r="J239" i="3" s="1"/>
  <c r="H239" i="3"/>
  <c r="K239" i="3" s="1"/>
  <c r="I238" i="3"/>
  <c r="J238" i="3" s="1"/>
  <c r="H238" i="3"/>
  <c r="K238" i="3" s="1"/>
  <c r="K237" i="3"/>
  <c r="I237" i="3"/>
  <c r="J237" i="3" s="1"/>
  <c r="L237" i="3" s="1"/>
  <c r="H237" i="3"/>
  <c r="I236" i="3"/>
  <c r="J236" i="3" s="1"/>
  <c r="H236" i="3"/>
  <c r="L235" i="3"/>
  <c r="K235" i="3"/>
  <c r="J235" i="3"/>
  <c r="I235" i="3"/>
  <c r="H235" i="3"/>
  <c r="I234" i="3"/>
  <c r="J234" i="3" s="1"/>
  <c r="H234" i="3"/>
  <c r="L234" i="3" s="1"/>
  <c r="I233" i="3"/>
  <c r="J233" i="3" s="1"/>
  <c r="H233" i="3"/>
  <c r="K232" i="3"/>
  <c r="J232" i="3"/>
  <c r="L232" i="3" s="1"/>
  <c r="I232" i="3"/>
  <c r="H232" i="3"/>
  <c r="K231" i="3"/>
  <c r="I231" i="3"/>
  <c r="J231" i="3" s="1"/>
  <c r="L231" i="3" s="1"/>
  <c r="H231" i="3"/>
  <c r="I230" i="3"/>
  <c r="J230" i="3" s="1"/>
  <c r="H230" i="3"/>
  <c r="K230" i="3" s="1"/>
  <c r="K229" i="3"/>
  <c r="I229" i="3"/>
  <c r="J229" i="3" s="1"/>
  <c r="L229" i="3" s="1"/>
  <c r="H229" i="3"/>
  <c r="I228" i="3"/>
  <c r="J228" i="3" s="1"/>
  <c r="H228" i="3"/>
  <c r="L227" i="3"/>
  <c r="J227" i="3"/>
  <c r="I227" i="3"/>
  <c r="H227" i="3"/>
  <c r="K227" i="3" s="1"/>
  <c r="K226" i="3"/>
  <c r="I226" i="3"/>
  <c r="J226" i="3" s="1"/>
  <c r="L226" i="3" s="1"/>
  <c r="H226" i="3"/>
  <c r="I225" i="3"/>
  <c r="J225" i="3" s="1"/>
  <c r="H225" i="3"/>
  <c r="K224" i="3"/>
  <c r="J224" i="3"/>
  <c r="L224" i="3" s="1"/>
  <c r="I224" i="3"/>
  <c r="H224" i="3"/>
  <c r="I223" i="3"/>
  <c r="J223" i="3" s="1"/>
  <c r="H223" i="3"/>
  <c r="I222" i="3"/>
  <c r="J222" i="3" s="1"/>
  <c r="L222" i="3" s="1"/>
  <c r="H222" i="3"/>
  <c r="K222" i="3" s="1"/>
  <c r="K221" i="3"/>
  <c r="I221" i="3"/>
  <c r="J221" i="3" s="1"/>
  <c r="L221" i="3" s="1"/>
  <c r="H221" i="3"/>
  <c r="K220" i="3"/>
  <c r="J220" i="3"/>
  <c r="I220" i="3"/>
  <c r="H220" i="3"/>
  <c r="J219" i="3"/>
  <c r="I219" i="3"/>
  <c r="H219" i="3"/>
  <c r="L219" i="3" s="1"/>
  <c r="I218" i="3"/>
  <c r="J218" i="3" s="1"/>
  <c r="L218" i="3" s="1"/>
  <c r="H218" i="3"/>
  <c r="K218" i="3" s="1"/>
  <c r="I217" i="3"/>
  <c r="J217" i="3" s="1"/>
  <c r="H217" i="3"/>
  <c r="L216" i="3"/>
  <c r="K216" i="3"/>
  <c r="J216" i="3"/>
  <c r="I216" i="3"/>
  <c r="H216" i="3"/>
  <c r="K215" i="3"/>
  <c r="I215" i="3"/>
  <c r="J215" i="3" s="1"/>
  <c r="L215" i="3" s="1"/>
  <c r="H215" i="3"/>
  <c r="I214" i="3"/>
  <c r="J214" i="3" s="1"/>
  <c r="H214" i="3"/>
  <c r="K214" i="3" s="1"/>
  <c r="K213" i="3"/>
  <c r="I213" i="3"/>
  <c r="J213" i="3" s="1"/>
  <c r="L213" i="3" s="1"/>
  <c r="H213" i="3"/>
  <c r="I212" i="3"/>
  <c r="J212" i="3" s="1"/>
  <c r="H212" i="3"/>
  <c r="L211" i="3"/>
  <c r="K211" i="3"/>
  <c r="J211" i="3"/>
  <c r="I211" i="3"/>
  <c r="H211" i="3"/>
  <c r="I210" i="3"/>
  <c r="J210" i="3" s="1"/>
  <c r="H210" i="3"/>
  <c r="L210" i="3" s="1"/>
  <c r="J209" i="3"/>
  <c r="I209" i="3"/>
  <c r="H209" i="3"/>
  <c r="K208" i="3"/>
  <c r="J208" i="3"/>
  <c r="L208" i="3" s="1"/>
  <c r="I208" i="3"/>
  <c r="H208" i="3"/>
  <c r="I207" i="3"/>
  <c r="J207" i="3" s="1"/>
  <c r="L207" i="3" s="1"/>
  <c r="H207" i="3"/>
  <c r="K207" i="3" s="1"/>
  <c r="I206" i="3"/>
  <c r="J206" i="3" s="1"/>
  <c r="H206" i="3"/>
  <c r="K206" i="3" s="1"/>
  <c r="K205" i="3"/>
  <c r="I205" i="3"/>
  <c r="J205" i="3" s="1"/>
  <c r="L205" i="3" s="1"/>
  <c r="H205" i="3"/>
  <c r="I204" i="3"/>
  <c r="J204" i="3" s="1"/>
  <c r="H204" i="3"/>
  <c r="J203" i="3"/>
  <c r="I203" i="3"/>
  <c r="H203" i="3"/>
  <c r="L203" i="3" s="1"/>
  <c r="K202" i="3"/>
  <c r="J202" i="3"/>
  <c r="L202" i="3" s="1"/>
  <c r="I202" i="3"/>
  <c r="H202" i="3"/>
  <c r="I201" i="3"/>
  <c r="J201" i="3" s="1"/>
  <c r="H201" i="3"/>
  <c r="K200" i="3"/>
  <c r="J200" i="3"/>
  <c r="L200" i="3" s="1"/>
  <c r="I200" i="3"/>
  <c r="H200" i="3"/>
  <c r="I199" i="3"/>
  <c r="J199" i="3" s="1"/>
  <c r="H199" i="3"/>
  <c r="K199" i="3" s="1"/>
  <c r="L198" i="3"/>
  <c r="I198" i="3"/>
  <c r="J198" i="3" s="1"/>
  <c r="H198" i="3"/>
  <c r="K198" i="3" s="1"/>
  <c r="K197" i="3"/>
  <c r="I197" i="3"/>
  <c r="J197" i="3" s="1"/>
  <c r="L197" i="3" s="1"/>
  <c r="H197" i="3"/>
  <c r="K196" i="3"/>
  <c r="I196" i="3"/>
  <c r="J196" i="3" s="1"/>
  <c r="H196" i="3"/>
  <c r="J195" i="3"/>
  <c r="I195" i="3"/>
  <c r="H195" i="3"/>
  <c r="L195" i="3" s="1"/>
  <c r="I194" i="3"/>
  <c r="J194" i="3" s="1"/>
  <c r="H194" i="3"/>
  <c r="L194" i="3" s="1"/>
  <c r="I193" i="3"/>
  <c r="J193" i="3" s="1"/>
  <c r="H193" i="3"/>
  <c r="K192" i="3"/>
  <c r="J192" i="3"/>
  <c r="L192" i="3" s="1"/>
  <c r="I192" i="3"/>
  <c r="H192" i="3"/>
  <c r="K191" i="3"/>
  <c r="J191" i="3"/>
  <c r="L191" i="3" s="1"/>
  <c r="I191" i="3"/>
  <c r="H191" i="3"/>
  <c r="I190" i="3"/>
  <c r="J190" i="3" s="1"/>
  <c r="H190" i="3"/>
  <c r="K190" i="3" s="1"/>
  <c r="K189" i="3"/>
  <c r="J189" i="3"/>
  <c r="L189" i="3" s="1"/>
  <c r="I189" i="3"/>
  <c r="H189" i="3"/>
  <c r="I188" i="3"/>
  <c r="J188" i="3" s="1"/>
  <c r="H188" i="3"/>
  <c r="K188" i="3" s="1"/>
  <c r="L187" i="3"/>
  <c r="K187" i="3"/>
  <c r="J187" i="3"/>
  <c r="I187" i="3"/>
  <c r="H187" i="3"/>
  <c r="I186" i="3"/>
  <c r="J186" i="3" s="1"/>
  <c r="H186" i="3"/>
  <c r="K186" i="3" s="1"/>
  <c r="I185" i="3"/>
  <c r="J185" i="3" s="1"/>
  <c r="H185" i="3"/>
  <c r="K184" i="3"/>
  <c r="J184" i="3"/>
  <c r="L184" i="3" s="1"/>
  <c r="I184" i="3"/>
  <c r="H184" i="3"/>
  <c r="I183" i="3"/>
  <c r="J183" i="3" s="1"/>
  <c r="H183" i="3"/>
  <c r="L183" i="3" s="1"/>
  <c r="I182" i="3"/>
  <c r="J182" i="3" s="1"/>
  <c r="H182" i="3"/>
  <c r="K182" i="3" s="1"/>
  <c r="K181" i="3"/>
  <c r="I181" i="3"/>
  <c r="J181" i="3" s="1"/>
  <c r="L181" i="3" s="1"/>
  <c r="H181" i="3"/>
  <c r="K180" i="3"/>
  <c r="I180" i="3"/>
  <c r="J180" i="3" s="1"/>
  <c r="H180" i="3"/>
  <c r="J179" i="3"/>
  <c r="I179" i="3"/>
  <c r="H179" i="3"/>
  <c r="K179" i="3" s="1"/>
  <c r="K178" i="3"/>
  <c r="I178" i="3"/>
  <c r="J178" i="3" s="1"/>
  <c r="L178" i="3" s="1"/>
  <c r="H178" i="3"/>
  <c r="I177" i="3"/>
  <c r="J177" i="3" s="1"/>
  <c r="H177" i="3"/>
  <c r="L176" i="3"/>
  <c r="K176" i="3"/>
  <c r="J176" i="3"/>
  <c r="I176" i="3"/>
  <c r="H176" i="3"/>
  <c r="I175" i="3"/>
  <c r="J175" i="3" s="1"/>
  <c r="H175" i="3"/>
  <c r="L175" i="3" s="1"/>
  <c r="I174" i="3"/>
  <c r="J174" i="3" s="1"/>
  <c r="H174" i="3"/>
  <c r="K174" i="3" s="1"/>
  <c r="K173" i="3"/>
  <c r="I173" i="3"/>
  <c r="J173" i="3" s="1"/>
  <c r="L173" i="3" s="1"/>
  <c r="H173" i="3"/>
  <c r="I172" i="3"/>
  <c r="J172" i="3" s="1"/>
  <c r="H172" i="3"/>
  <c r="L171" i="3"/>
  <c r="K171" i="3"/>
  <c r="J171" i="3"/>
  <c r="I171" i="3"/>
  <c r="H171" i="3"/>
  <c r="I170" i="3"/>
  <c r="J170" i="3" s="1"/>
  <c r="H170" i="3"/>
  <c r="L170" i="3" s="1"/>
  <c r="I169" i="3"/>
  <c r="J169" i="3" s="1"/>
  <c r="H169" i="3"/>
  <c r="K168" i="3"/>
  <c r="J168" i="3"/>
  <c r="L168" i="3" s="1"/>
  <c r="I168" i="3"/>
  <c r="H168" i="3"/>
  <c r="K167" i="3"/>
  <c r="I167" i="3"/>
  <c r="J167" i="3" s="1"/>
  <c r="L167" i="3" s="1"/>
  <c r="H167" i="3"/>
  <c r="I166" i="3"/>
  <c r="J166" i="3" s="1"/>
  <c r="H166" i="3"/>
  <c r="K166" i="3" s="1"/>
  <c r="K165" i="3"/>
  <c r="I165" i="3"/>
  <c r="J165" i="3" s="1"/>
  <c r="L165" i="3" s="1"/>
  <c r="H165" i="3"/>
  <c r="I164" i="3"/>
  <c r="J164" i="3" s="1"/>
  <c r="H164" i="3"/>
  <c r="K164" i="3" s="1"/>
  <c r="L163" i="3"/>
  <c r="J163" i="3"/>
  <c r="I163" i="3"/>
  <c r="H163" i="3"/>
  <c r="K163" i="3" s="1"/>
  <c r="K162" i="3"/>
  <c r="I162" i="3"/>
  <c r="J162" i="3" s="1"/>
  <c r="L162" i="3" s="1"/>
  <c r="H162" i="3"/>
  <c r="I161" i="3"/>
  <c r="J161" i="3" s="1"/>
  <c r="H161" i="3"/>
  <c r="K160" i="3"/>
  <c r="J160" i="3"/>
  <c r="L160" i="3" s="1"/>
  <c r="I160" i="3"/>
  <c r="H160" i="3"/>
  <c r="I159" i="3"/>
  <c r="J159" i="3" s="1"/>
  <c r="H159" i="3"/>
  <c r="I158" i="3"/>
  <c r="J158" i="3" s="1"/>
  <c r="L158" i="3" s="1"/>
  <c r="H158" i="3"/>
  <c r="K158" i="3" s="1"/>
  <c r="K157" i="3"/>
  <c r="I157" i="3"/>
  <c r="J157" i="3" s="1"/>
  <c r="L157" i="3" s="1"/>
  <c r="H157" i="3"/>
  <c r="K156" i="3"/>
  <c r="J156" i="3"/>
  <c r="I156" i="3"/>
  <c r="H156" i="3"/>
  <c r="J155" i="3"/>
  <c r="I155" i="3"/>
  <c r="H155" i="3"/>
  <c r="K155" i="3" s="1"/>
  <c r="I154" i="3"/>
  <c r="J154" i="3" s="1"/>
  <c r="L154" i="3" s="1"/>
  <c r="H154" i="3"/>
  <c r="K154" i="3" s="1"/>
  <c r="I153" i="3"/>
  <c r="J153" i="3" s="1"/>
  <c r="H153" i="3"/>
  <c r="L152" i="3"/>
  <c r="K152" i="3"/>
  <c r="J152" i="3"/>
  <c r="I152" i="3"/>
  <c r="H152" i="3"/>
  <c r="K151" i="3"/>
  <c r="I151" i="3"/>
  <c r="J151" i="3" s="1"/>
  <c r="L151" i="3" s="1"/>
  <c r="H151" i="3"/>
  <c r="I150" i="3"/>
  <c r="J150" i="3" s="1"/>
  <c r="H150" i="3"/>
  <c r="K150" i="3" s="1"/>
  <c r="K149" i="3"/>
  <c r="I149" i="3"/>
  <c r="J149" i="3" s="1"/>
  <c r="L149" i="3" s="1"/>
  <c r="H149" i="3"/>
  <c r="I148" i="3"/>
  <c r="J148" i="3" s="1"/>
  <c r="H148" i="3"/>
  <c r="L147" i="3"/>
  <c r="K147" i="3"/>
  <c r="J147" i="3"/>
  <c r="I147" i="3"/>
  <c r="H147" i="3"/>
  <c r="I146" i="3"/>
  <c r="J146" i="3" s="1"/>
  <c r="H146" i="3"/>
  <c r="L146" i="3" s="1"/>
  <c r="J145" i="3"/>
  <c r="I145" i="3"/>
  <c r="H145" i="3"/>
  <c r="K144" i="3"/>
  <c r="J144" i="3"/>
  <c r="L144" i="3" s="1"/>
  <c r="I144" i="3"/>
  <c r="H144" i="3"/>
  <c r="I143" i="3"/>
  <c r="J143" i="3" s="1"/>
  <c r="L143" i="3" s="1"/>
  <c r="H143" i="3"/>
  <c r="K143" i="3" s="1"/>
  <c r="I142" i="3"/>
  <c r="J142" i="3" s="1"/>
  <c r="H142" i="3"/>
  <c r="K142" i="3" s="1"/>
  <c r="K141" i="3"/>
  <c r="I141" i="3"/>
  <c r="J141" i="3" s="1"/>
  <c r="L141" i="3" s="1"/>
  <c r="H141" i="3"/>
  <c r="I140" i="3"/>
  <c r="J140" i="3" s="1"/>
  <c r="H140" i="3"/>
  <c r="J139" i="3"/>
  <c r="I139" i="3"/>
  <c r="H139" i="3"/>
  <c r="L139" i="3" s="1"/>
  <c r="K138" i="3"/>
  <c r="J138" i="3"/>
  <c r="L138" i="3" s="1"/>
  <c r="I138" i="3"/>
  <c r="H138" i="3"/>
  <c r="I137" i="3"/>
  <c r="J137" i="3" s="1"/>
  <c r="H137" i="3"/>
  <c r="K136" i="3"/>
  <c r="J136" i="3"/>
  <c r="L136" i="3" s="1"/>
  <c r="I136" i="3"/>
  <c r="H136" i="3"/>
  <c r="I135" i="3"/>
  <c r="J135" i="3" s="1"/>
  <c r="H135" i="3"/>
  <c r="L135" i="3" s="1"/>
  <c r="L134" i="3"/>
  <c r="I134" i="3"/>
  <c r="J134" i="3" s="1"/>
  <c r="H134" i="3"/>
  <c r="K134" i="3" s="1"/>
  <c r="K133" i="3"/>
  <c r="I133" i="3"/>
  <c r="J133" i="3" s="1"/>
  <c r="L133" i="3" s="1"/>
  <c r="H133" i="3"/>
  <c r="K132" i="3"/>
  <c r="I132" i="3"/>
  <c r="J132" i="3" s="1"/>
  <c r="H132" i="3"/>
  <c r="J131" i="3"/>
  <c r="I131" i="3"/>
  <c r="H131" i="3"/>
  <c r="L131" i="3" s="1"/>
  <c r="I130" i="3"/>
  <c r="J130" i="3" s="1"/>
  <c r="H130" i="3"/>
  <c r="L130" i="3" s="1"/>
  <c r="I129" i="3"/>
  <c r="J129" i="3" s="1"/>
  <c r="H129" i="3"/>
  <c r="K128" i="3"/>
  <c r="J128" i="3"/>
  <c r="L128" i="3" s="1"/>
  <c r="I128" i="3"/>
  <c r="H128" i="3"/>
  <c r="K127" i="3"/>
  <c r="J127" i="3"/>
  <c r="L127" i="3" s="1"/>
  <c r="I127" i="3"/>
  <c r="H127" i="3"/>
  <c r="I126" i="3"/>
  <c r="J126" i="3" s="1"/>
  <c r="H126" i="3"/>
  <c r="K126" i="3" s="1"/>
  <c r="K125" i="3"/>
  <c r="J125" i="3"/>
  <c r="L125" i="3" s="1"/>
  <c r="I125" i="3"/>
  <c r="H125" i="3"/>
  <c r="I124" i="3"/>
  <c r="J124" i="3" s="1"/>
  <c r="H124" i="3"/>
  <c r="L123" i="3"/>
  <c r="K123" i="3"/>
  <c r="J123" i="3"/>
  <c r="I123" i="3"/>
  <c r="H123" i="3"/>
  <c r="I122" i="3"/>
  <c r="J122" i="3" s="1"/>
  <c r="H122" i="3"/>
  <c r="K122" i="3" s="1"/>
  <c r="I121" i="3"/>
  <c r="J121" i="3" s="1"/>
  <c r="H121" i="3"/>
  <c r="K120" i="3"/>
  <c r="J120" i="3"/>
  <c r="L120" i="3" s="1"/>
  <c r="I120" i="3"/>
  <c r="H120" i="3"/>
  <c r="I119" i="3"/>
  <c r="J119" i="3" s="1"/>
  <c r="H119" i="3"/>
  <c r="L119" i="3" s="1"/>
  <c r="I118" i="3"/>
  <c r="J118" i="3" s="1"/>
  <c r="H118" i="3"/>
  <c r="K118" i="3" s="1"/>
  <c r="K117" i="3"/>
  <c r="I117" i="3"/>
  <c r="J117" i="3" s="1"/>
  <c r="L117" i="3" s="1"/>
  <c r="H117" i="3"/>
  <c r="K116" i="3"/>
  <c r="I116" i="3"/>
  <c r="J116" i="3" s="1"/>
  <c r="H116" i="3"/>
  <c r="J115" i="3"/>
  <c r="I115" i="3"/>
  <c r="H115" i="3"/>
  <c r="L115" i="3" s="1"/>
  <c r="K114" i="3"/>
  <c r="I114" i="3"/>
  <c r="J114" i="3" s="1"/>
  <c r="L114" i="3" s="1"/>
  <c r="H114" i="3"/>
  <c r="I113" i="3"/>
  <c r="J113" i="3" s="1"/>
  <c r="H113" i="3"/>
  <c r="L112" i="3"/>
  <c r="K112" i="3"/>
  <c r="J112" i="3"/>
  <c r="I112" i="3"/>
  <c r="H112" i="3"/>
  <c r="I111" i="3"/>
  <c r="J111" i="3" s="1"/>
  <c r="H111" i="3"/>
  <c r="L111" i="3" s="1"/>
  <c r="I110" i="3"/>
  <c r="J110" i="3" s="1"/>
  <c r="H110" i="3"/>
  <c r="K110" i="3" s="1"/>
  <c r="K109" i="3"/>
  <c r="I109" i="3"/>
  <c r="J109" i="3" s="1"/>
  <c r="L109" i="3" s="1"/>
  <c r="H109" i="3"/>
  <c r="I108" i="3"/>
  <c r="J108" i="3" s="1"/>
  <c r="H108" i="3"/>
  <c r="L107" i="3"/>
  <c r="K107" i="3"/>
  <c r="J107" i="3"/>
  <c r="I107" i="3"/>
  <c r="H107" i="3"/>
  <c r="I106" i="3"/>
  <c r="J106" i="3" s="1"/>
  <c r="H106" i="3"/>
  <c r="L106" i="3" s="1"/>
  <c r="I105" i="3"/>
  <c r="J105" i="3" s="1"/>
  <c r="H105" i="3"/>
  <c r="K104" i="3"/>
  <c r="J104" i="3"/>
  <c r="L104" i="3" s="1"/>
  <c r="I104" i="3"/>
  <c r="H104" i="3"/>
  <c r="K103" i="3"/>
  <c r="I103" i="3"/>
  <c r="J103" i="3" s="1"/>
  <c r="L103" i="3" s="1"/>
  <c r="H103" i="3"/>
  <c r="I102" i="3"/>
  <c r="J102" i="3" s="1"/>
  <c r="H102" i="3"/>
  <c r="K102" i="3" s="1"/>
  <c r="K101" i="3"/>
  <c r="I101" i="3"/>
  <c r="J101" i="3" s="1"/>
  <c r="L101" i="3" s="1"/>
  <c r="H101" i="3"/>
  <c r="I100" i="3"/>
  <c r="J100" i="3" s="1"/>
  <c r="H100" i="3"/>
  <c r="L99" i="3"/>
  <c r="J99" i="3"/>
  <c r="I99" i="3"/>
  <c r="H99" i="3"/>
  <c r="K99" i="3" s="1"/>
  <c r="K98" i="3"/>
  <c r="I98" i="3"/>
  <c r="J98" i="3" s="1"/>
  <c r="L98" i="3" s="1"/>
  <c r="H98" i="3"/>
  <c r="I97" i="3"/>
  <c r="J97" i="3" s="1"/>
  <c r="H97" i="3"/>
  <c r="K96" i="3"/>
  <c r="J96" i="3"/>
  <c r="L96" i="3" s="1"/>
  <c r="I96" i="3"/>
  <c r="H96" i="3"/>
  <c r="I95" i="3"/>
  <c r="J95" i="3" s="1"/>
  <c r="H95" i="3"/>
  <c r="I94" i="3"/>
  <c r="J94" i="3" s="1"/>
  <c r="L94" i="3" s="1"/>
  <c r="H94" i="3"/>
  <c r="K94" i="3" s="1"/>
  <c r="K93" i="3"/>
  <c r="I93" i="3"/>
  <c r="J93" i="3" s="1"/>
  <c r="L93" i="3" s="1"/>
  <c r="H93" i="3"/>
  <c r="K92" i="3"/>
  <c r="J92" i="3"/>
  <c r="I92" i="3"/>
  <c r="H92" i="3"/>
  <c r="J91" i="3"/>
  <c r="I91" i="3"/>
  <c r="H91" i="3"/>
  <c r="K91" i="3" s="1"/>
  <c r="I90" i="3"/>
  <c r="J90" i="3" s="1"/>
  <c r="L90" i="3" s="1"/>
  <c r="H90" i="3"/>
  <c r="K90" i="3" s="1"/>
  <c r="I89" i="3"/>
  <c r="J89" i="3" s="1"/>
  <c r="H89" i="3"/>
  <c r="L88" i="3"/>
  <c r="K88" i="3"/>
  <c r="J88" i="3"/>
  <c r="I88" i="3"/>
  <c r="H88" i="3"/>
  <c r="K87" i="3"/>
  <c r="I87" i="3"/>
  <c r="J87" i="3" s="1"/>
  <c r="L87" i="3" s="1"/>
  <c r="H87" i="3"/>
  <c r="I86" i="3"/>
  <c r="J86" i="3" s="1"/>
  <c r="H86" i="3"/>
  <c r="K86" i="3" s="1"/>
  <c r="K85" i="3"/>
  <c r="I85" i="3"/>
  <c r="J85" i="3" s="1"/>
  <c r="L85" i="3" s="1"/>
  <c r="H85" i="3"/>
  <c r="I84" i="3"/>
  <c r="J84" i="3" s="1"/>
  <c r="H84" i="3"/>
  <c r="L83" i="3"/>
  <c r="K83" i="3"/>
  <c r="J83" i="3"/>
  <c r="I83" i="3"/>
  <c r="H83" i="3"/>
  <c r="I82" i="3"/>
  <c r="J82" i="3" s="1"/>
  <c r="H82" i="3"/>
  <c r="L82" i="3" s="1"/>
  <c r="J81" i="3"/>
  <c r="I81" i="3"/>
  <c r="H81" i="3"/>
  <c r="K80" i="3"/>
  <c r="J80" i="3"/>
  <c r="L80" i="3" s="1"/>
  <c r="I80" i="3"/>
  <c r="H80" i="3"/>
  <c r="I79" i="3"/>
  <c r="J79" i="3" s="1"/>
  <c r="L79" i="3" s="1"/>
  <c r="H79" i="3"/>
  <c r="K79" i="3" s="1"/>
  <c r="I78" i="3"/>
  <c r="J78" i="3" s="1"/>
  <c r="H78" i="3"/>
  <c r="K78" i="3" s="1"/>
  <c r="K77" i="3"/>
  <c r="I77" i="3"/>
  <c r="J77" i="3" s="1"/>
  <c r="L77" i="3" s="1"/>
  <c r="H77" i="3"/>
  <c r="I76" i="3"/>
  <c r="J76" i="3" s="1"/>
  <c r="H76" i="3"/>
  <c r="J75" i="3"/>
  <c r="I75" i="3"/>
  <c r="H75" i="3"/>
  <c r="L75" i="3" s="1"/>
  <c r="K74" i="3"/>
  <c r="J74" i="3"/>
  <c r="L74" i="3" s="1"/>
  <c r="I74" i="3"/>
  <c r="H74" i="3"/>
  <c r="I73" i="3"/>
  <c r="J73" i="3" s="1"/>
  <c r="H73" i="3"/>
  <c r="K72" i="3"/>
  <c r="J72" i="3"/>
  <c r="L72" i="3" s="1"/>
  <c r="I72" i="3"/>
  <c r="H72" i="3"/>
  <c r="I71" i="3"/>
  <c r="J71" i="3" s="1"/>
  <c r="H71" i="3"/>
  <c r="K71" i="3" s="1"/>
  <c r="L70" i="3"/>
  <c r="I70" i="3"/>
  <c r="H70" i="3"/>
  <c r="K70" i="3" s="1"/>
  <c r="I69" i="3"/>
  <c r="J69" i="3" s="1"/>
  <c r="H69" i="3"/>
  <c r="J68" i="3"/>
  <c r="I68" i="3"/>
  <c r="H68" i="3"/>
  <c r="K67" i="3"/>
  <c r="J67" i="3"/>
  <c r="L67" i="3" s="1"/>
  <c r="I67" i="3"/>
  <c r="H67" i="3"/>
  <c r="I66" i="3"/>
  <c r="J66" i="3" s="1"/>
  <c r="L66" i="3" s="1"/>
  <c r="H66" i="3"/>
  <c r="K66" i="3" s="1"/>
  <c r="I65" i="3"/>
  <c r="J65" i="3" s="1"/>
  <c r="H65" i="3"/>
  <c r="K65" i="3" s="1"/>
  <c r="K64" i="3"/>
  <c r="I64" i="3"/>
  <c r="J64" i="3" s="1"/>
  <c r="L64" i="3" s="1"/>
  <c r="H64" i="3"/>
  <c r="I63" i="3"/>
  <c r="J63" i="3" s="1"/>
  <c r="H63" i="3"/>
  <c r="J62" i="3"/>
  <c r="I62" i="3"/>
  <c r="H62" i="3"/>
  <c r="L62" i="3" s="1"/>
  <c r="K61" i="3"/>
  <c r="J61" i="3"/>
  <c r="L61" i="3" s="1"/>
  <c r="I61" i="3"/>
  <c r="H61" i="3"/>
  <c r="I60" i="3"/>
  <c r="J60" i="3" s="1"/>
  <c r="H60" i="3"/>
  <c r="K59" i="3"/>
  <c r="J59" i="3"/>
  <c r="L59" i="3" s="1"/>
  <c r="I59" i="3"/>
  <c r="H59" i="3"/>
  <c r="I58" i="3"/>
  <c r="J58" i="3" s="1"/>
  <c r="H58" i="3"/>
  <c r="K58" i="3" s="1"/>
  <c r="L57" i="3"/>
  <c r="I57" i="3"/>
  <c r="J57" i="3" s="1"/>
  <c r="H57" i="3"/>
  <c r="K57" i="3" s="1"/>
  <c r="K56" i="3"/>
  <c r="I56" i="3"/>
  <c r="J56" i="3" s="1"/>
  <c r="L56" i="3" s="1"/>
  <c r="H56" i="3"/>
  <c r="K55" i="3"/>
  <c r="I55" i="3"/>
  <c r="J55" i="3" s="1"/>
  <c r="H55" i="3"/>
  <c r="J54" i="3"/>
  <c r="I54" i="3"/>
  <c r="H54" i="3"/>
  <c r="L54" i="3" s="1"/>
  <c r="I53" i="3"/>
  <c r="J53" i="3" s="1"/>
  <c r="H53" i="3"/>
  <c r="L53" i="3" s="1"/>
  <c r="I52" i="3"/>
  <c r="J52" i="3" s="1"/>
  <c r="H52" i="3"/>
  <c r="K51" i="3"/>
  <c r="J51" i="3"/>
  <c r="L51" i="3" s="1"/>
  <c r="I51" i="3"/>
  <c r="H51" i="3"/>
  <c r="K50" i="3"/>
  <c r="J50" i="3"/>
  <c r="L50" i="3" s="1"/>
  <c r="I50" i="3"/>
  <c r="H50" i="3"/>
  <c r="I49" i="3"/>
  <c r="J49" i="3" s="1"/>
  <c r="H49" i="3"/>
  <c r="K49" i="3" s="1"/>
  <c r="K48" i="3"/>
  <c r="J48" i="3"/>
  <c r="L48" i="3" s="1"/>
  <c r="I48" i="3"/>
  <c r="H48" i="3"/>
  <c r="I47" i="3"/>
  <c r="J47" i="3" s="1"/>
  <c r="H47" i="3"/>
  <c r="L46" i="3"/>
  <c r="K46" i="3"/>
  <c r="J46" i="3"/>
  <c r="I46" i="3"/>
  <c r="H46" i="3"/>
  <c r="I45" i="3"/>
  <c r="J45" i="3" s="1"/>
  <c r="H45" i="3"/>
  <c r="I44" i="3"/>
  <c r="J44" i="3" s="1"/>
  <c r="H44" i="3"/>
  <c r="K43" i="3"/>
  <c r="J43" i="3"/>
  <c r="L43" i="3" s="1"/>
  <c r="I43" i="3"/>
  <c r="H43" i="3"/>
  <c r="I42" i="3"/>
  <c r="J42" i="3" s="1"/>
  <c r="H42" i="3"/>
  <c r="I41" i="3"/>
  <c r="J41" i="3" s="1"/>
  <c r="H41" i="3"/>
  <c r="K41" i="3" s="1"/>
  <c r="K40" i="3"/>
  <c r="I40" i="3"/>
  <c r="J40" i="3" s="1"/>
  <c r="L40" i="3" s="1"/>
  <c r="H40" i="3"/>
  <c r="K39" i="3"/>
  <c r="I39" i="3"/>
  <c r="J39" i="3" s="1"/>
  <c r="H39" i="3"/>
  <c r="J38" i="3"/>
  <c r="I38" i="3"/>
  <c r="H38" i="3"/>
  <c r="K38" i="3" s="1"/>
  <c r="K37" i="3"/>
  <c r="I37" i="3"/>
  <c r="J37" i="3" s="1"/>
  <c r="L37" i="3" s="1"/>
  <c r="H37" i="3"/>
  <c r="I36" i="3"/>
  <c r="J36" i="3" s="1"/>
  <c r="H36" i="3"/>
  <c r="L35" i="3"/>
  <c r="K35" i="3"/>
  <c r="J35" i="3"/>
  <c r="I35" i="3"/>
  <c r="H35" i="3"/>
  <c r="I34" i="3"/>
  <c r="J34" i="3" s="1"/>
  <c r="H34" i="3"/>
  <c r="L34" i="3" s="1"/>
  <c r="I33" i="3"/>
  <c r="J33" i="3" s="1"/>
  <c r="H33" i="3"/>
  <c r="K33" i="3" s="1"/>
  <c r="K32" i="3"/>
  <c r="I32" i="3"/>
  <c r="J32" i="3" s="1"/>
  <c r="L32" i="3" s="1"/>
  <c r="H32" i="3"/>
  <c r="I31" i="3"/>
  <c r="J31" i="3" s="1"/>
  <c r="H31" i="3"/>
  <c r="L30" i="3"/>
  <c r="K30" i="3"/>
  <c r="J30" i="3"/>
  <c r="I30" i="3"/>
  <c r="H30" i="3"/>
  <c r="I29" i="3"/>
  <c r="J29" i="3" s="1"/>
  <c r="H29" i="3"/>
  <c r="K29" i="3" s="1"/>
  <c r="I28" i="3"/>
  <c r="J28" i="3" s="1"/>
  <c r="H28" i="3"/>
  <c r="K27" i="3"/>
  <c r="J27" i="3"/>
  <c r="L27" i="3" s="1"/>
  <c r="I27" i="3"/>
  <c r="H27" i="3"/>
  <c r="K26" i="3"/>
  <c r="I26" i="3"/>
  <c r="J26" i="3" s="1"/>
  <c r="L26" i="3" s="1"/>
  <c r="H26" i="3"/>
  <c r="I25" i="3"/>
  <c r="J25" i="3" s="1"/>
  <c r="H25" i="3"/>
  <c r="K25" i="3" s="1"/>
  <c r="K24" i="3"/>
  <c r="I24" i="3"/>
  <c r="J24" i="3" s="1"/>
  <c r="L24" i="3" s="1"/>
  <c r="H24" i="3"/>
  <c r="I23" i="3"/>
  <c r="J23" i="3" s="1"/>
  <c r="H23" i="3"/>
  <c r="L22" i="3"/>
  <c r="J22" i="3"/>
  <c r="I22" i="3"/>
  <c r="H22" i="3"/>
  <c r="K22" i="3" s="1"/>
  <c r="K21" i="3"/>
  <c r="I21" i="3"/>
  <c r="J21" i="3" s="1"/>
  <c r="L21" i="3" s="1"/>
  <c r="H21" i="3"/>
  <c r="I20" i="3"/>
  <c r="J20" i="3" s="1"/>
  <c r="H20" i="3"/>
  <c r="K19" i="3"/>
  <c r="J19" i="3"/>
  <c r="L19" i="3" s="1"/>
  <c r="I19" i="3"/>
  <c r="H19" i="3"/>
  <c r="I18" i="3"/>
  <c r="J18" i="3" s="1"/>
  <c r="H18" i="3"/>
  <c r="L18" i="3" s="1"/>
  <c r="I17" i="3"/>
  <c r="J17" i="3" s="1"/>
  <c r="L17" i="3" s="1"/>
  <c r="H17" i="3"/>
  <c r="K17" i="3" s="1"/>
  <c r="K16" i="3"/>
  <c r="I16" i="3"/>
  <c r="J16" i="3" s="1"/>
  <c r="L16" i="3" s="1"/>
  <c r="H16" i="3"/>
  <c r="K15" i="3"/>
  <c r="J15" i="3"/>
  <c r="I15" i="3"/>
  <c r="H15" i="3"/>
  <c r="J14" i="3"/>
  <c r="I14" i="3"/>
  <c r="H14" i="3"/>
  <c r="K14" i="3" s="1"/>
  <c r="I13" i="3"/>
  <c r="J13" i="3" s="1"/>
  <c r="L13" i="3" s="1"/>
  <c r="H13" i="3"/>
  <c r="K13" i="3" s="1"/>
  <c r="I12" i="3"/>
  <c r="J12" i="3" s="1"/>
  <c r="H12" i="3"/>
  <c r="L11" i="3"/>
  <c r="K11" i="3"/>
  <c r="J11" i="3"/>
  <c r="I11" i="3"/>
  <c r="H11" i="3"/>
  <c r="K10" i="3"/>
  <c r="I10" i="3"/>
  <c r="J10" i="3" s="1"/>
  <c r="L10" i="3" s="1"/>
  <c r="H10" i="3"/>
  <c r="I9" i="3"/>
  <c r="J9" i="3" s="1"/>
  <c r="H9" i="3"/>
  <c r="K9" i="3" s="1"/>
  <c r="K8" i="3"/>
  <c r="I8" i="3"/>
  <c r="J8" i="3" s="1"/>
  <c r="L8" i="3" s="1"/>
  <c r="H8" i="3"/>
  <c r="I7" i="3"/>
  <c r="J7" i="3" s="1"/>
  <c r="H7" i="3"/>
  <c r="L6" i="3"/>
  <c r="K6" i="3"/>
  <c r="J6" i="3"/>
  <c r="I6" i="3"/>
  <c r="H6" i="3"/>
  <c r="I5" i="3"/>
  <c r="J5" i="3" s="1"/>
  <c r="H5" i="3"/>
  <c r="J4" i="3"/>
  <c r="I4" i="3"/>
  <c r="H4" i="3"/>
  <c r="K3" i="3"/>
  <c r="J3" i="3"/>
  <c r="L3" i="3" s="1"/>
  <c r="I3" i="3"/>
  <c r="H3" i="3"/>
  <c r="I2" i="3"/>
  <c r="J2" i="3" s="1"/>
  <c r="L2" i="3" s="1"/>
  <c r="H2" i="3"/>
  <c r="K2" i="3" s="1"/>
  <c r="C26" i="1"/>
  <c r="C13" i="1"/>
  <c r="C12" i="1"/>
  <c r="C11" i="1"/>
  <c r="C9" i="1"/>
  <c r="R107" i="5" l="1"/>
  <c r="N272" i="5"/>
  <c r="N275" i="5"/>
  <c r="R484" i="5"/>
  <c r="N299" i="5"/>
  <c r="N436" i="5"/>
  <c r="N456" i="5"/>
  <c r="N118" i="5"/>
  <c r="R119" i="5"/>
  <c r="N311" i="5"/>
  <c r="R486" i="5"/>
  <c r="R141" i="5"/>
  <c r="R439" i="5"/>
  <c r="V439" i="5" s="1"/>
  <c r="W439" i="5" s="1"/>
  <c r="N174" i="5"/>
  <c r="R174" i="5" s="1"/>
  <c r="V174" i="5" s="1"/>
  <c r="W174" i="5" s="1"/>
  <c r="N192" i="5"/>
  <c r="R255" i="5"/>
  <c r="R405" i="5"/>
  <c r="N431" i="5"/>
  <c r="N459" i="5"/>
  <c r="R492" i="5"/>
  <c r="R409" i="5"/>
  <c r="N138" i="5"/>
  <c r="N208" i="5"/>
  <c r="N305" i="5"/>
  <c r="R137" i="5"/>
  <c r="V137" i="5" s="1"/>
  <c r="W137" i="5" s="1"/>
  <c r="N446" i="5"/>
  <c r="R446" i="5" s="1"/>
  <c r="V446" i="5" s="1"/>
  <c r="W446" i="5" s="1"/>
  <c r="R480" i="5"/>
  <c r="V480" i="5" s="1"/>
  <c r="W480" i="5" s="1"/>
  <c r="R524" i="5"/>
  <c r="R530" i="5"/>
  <c r="R67" i="5"/>
  <c r="M280" i="5"/>
  <c r="N280" i="5" s="1"/>
  <c r="R280" i="5" s="1"/>
  <c r="V280" i="5" s="1"/>
  <c r="W280" i="5" s="1"/>
  <c r="N343" i="5"/>
  <c r="R408" i="5"/>
  <c r="N440" i="5"/>
  <c r="R440" i="5" s="1"/>
  <c r="V440" i="5" s="1"/>
  <c r="W440" i="5" s="1"/>
  <c r="R570" i="5"/>
  <c r="V570" i="5" s="1"/>
  <c r="W570" i="5" s="1"/>
  <c r="R97" i="5"/>
  <c r="V97" i="5" s="1"/>
  <c r="W97" i="5" s="1"/>
  <c r="R102" i="5"/>
  <c r="R167" i="5"/>
  <c r="N243" i="5"/>
  <c r="R243" i="5" s="1"/>
  <c r="V243" i="5" s="1"/>
  <c r="W243" i="5" s="1"/>
  <c r="R417" i="5"/>
  <c r="V417" i="5" s="1"/>
  <c r="W417" i="5" s="1"/>
  <c r="R109" i="5"/>
  <c r="R245" i="5"/>
  <c r="V245" i="5" s="1"/>
  <c r="W245" i="5" s="1"/>
  <c r="R257" i="5"/>
  <c r="V257" i="5" s="1"/>
  <c r="W257" i="5" s="1"/>
  <c r="M351" i="5"/>
  <c r="N351" i="5" s="1"/>
  <c r="R351" i="5" s="1"/>
  <c r="V351" i="5" s="1"/>
  <c r="W351" i="5" s="1"/>
  <c r="R490" i="5"/>
  <c r="R508" i="5"/>
  <c r="R540" i="5"/>
  <c r="R595" i="5"/>
  <c r="V595" i="5" s="1"/>
  <c r="W595" i="5" s="1"/>
  <c r="R428" i="5"/>
  <c r="R462" i="5"/>
  <c r="V462" i="5" s="1"/>
  <c r="W462" i="5" s="1"/>
  <c r="R482" i="5"/>
  <c r="V482" i="5" s="1"/>
  <c r="W482" i="5" s="1"/>
  <c r="R502" i="5"/>
  <c r="N523" i="5"/>
  <c r="R523" i="5" s="1"/>
  <c r="V523" i="5" s="1"/>
  <c r="W523" i="5" s="1"/>
  <c r="N530" i="5"/>
  <c r="V540" i="5"/>
  <c r="W540" i="5" s="1"/>
  <c r="R569" i="5"/>
  <c r="V569" i="5" s="1"/>
  <c r="W569" i="5" s="1"/>
  <c r="M79" i="5"/>
  <c r="N79" i="5" s="1"/>
  <c r="R79" i="5" s="1"/>
  <c r="V79" i="5" s="1"/>
  <c r="W79" i="5" s="1"/>
  <c r="R111" i="5"/>
  <c r="V111" i="5" s="1"/>
  <c r="W111" i="5" s="1"/>
  <c r="R112" i="5"/>
  <c r="V112" i="5" s="1"/>
  <c r="W112" i="5" s="1"/>
  <c r="M253" i="5"/>
  <c r="N253" i="5" s="1"/>
  <c r="R253" i="5" s="1"/>
  <c r="V253" i="5" s="1"/>
  <c r="W253" i="5" s="1"/>
  <c r="N254" i="5"/>
  <c r="N264" i="5"/>
  <c r="R288" i="5"/>
  <c r="N395" i="5"/>
  <c r="M433" i="5"/>
  <c r="N433" i="5" s="1"/>
  <c r="R433" i="5" s="1"/>
  <c r="V433" i="5" s="1"/>
  <c r="W433" i="5" s="1"/>
  <c r="R488" i="5"/>
  <c r="V488" i="5" s="1"/>
  <c r="W488" i="5" s="1"/>
  <c r="N493" i="5"/>
  <c r="R493" i="5" s="1"/>
  <c r="V493" i="5" s="1"/>
  <c r="W493" i="5" s="1"/>
  <c r="N517" i="5"/>
  <c r="R517" i="5" s="1"/>
  <c r="V517" i="5" s="1"/>
  <c r="W517" i="5" s="1"/>
  <c r="R522" i="5"/>
  <c r="R588" i="5"/>
  <c r="R100" i="5"/>
  <c r="V100" i="5" s="1"/>
  <c r="W100" i="5" s="1"/>
  <c r="R157" i="5"/>
  <c r="R418" i="5"/>
  <c r="V418" i="5" s="1"/>
  <c r="W418" i="5" s="1"/>
  <c r="R92" i="5"/>
  <c r="V92" i="5" s="1"/>
  <c r="W92" i="5" s="1"/>
  <c r="M367" i="5"/>
  <c r="N367" i="5" s="1"/>
  <c r="R367" i="5" s="1"/>
  <c r="V367" i="5" s="1"/>
  <c r="W367" i="5" s="1"/>
  <c r="N379" i="5"/>
  <c r="R404" i="5"/>
  <c r="V404" i="5" s="1"/>
  <c r="W404" i="5" s="1"/>
  <c r="R424" i="5"/>
  <c r="V424" i="5" s="1"/>
  <c r="W424" i="5" s="1"/>
  <c r="N430" i="5"/>
  <c r="R430" i="5" s="1"/>
  <c r="V430" i="5" s="1"/>
  <c r="W430" i="5" s="1"/>
  <c r="N452" i="5"/>
  <c r="N473" i="5"/>
  <c r="R473" i="5" s="1"/>
  <c r="V473" i="5" s="1"/>
  <c r="W473" i="5" s="1"/>
  <c r="N485" i="5"/>
  <c r="R485" i="5" s="1"/>
  <c r="V485" i="5" s="1"/>
  <c r="W485" i="5" s="1"/>
  <c r="R498" i="5"/>
  <c r="V498" i="5" s="1"/>
  <c r="W498" i="5" s="1"/>
  <c r="R199" i="5"/>
  <c r="V199" i="5" s="1"/>
  <c r="W199" i="5" s="1"/>
  <c r="R380" i="5"/>
  <c r="R468" i="5"/>
  <c r="R472" i="5"/>
  <c r="N515" i="5"/>
  <c r="R515" i="5" s="1"/>
  <c r="V515" i="5" s="1"/>
  <c r="W515" i="5" s="1"/>
  <c r="R103" i="5"/>
  <c r="V103" i="5" s="1"/>
  <c r="W103" i="5" s="1"/>
  <c r="R346" i="5"/>
  <c r="R360" i="5"/>
  <c r="N377" i="5"/>
  <c r="N408" i="5"/>
  <c r="R451" i="5"/>
  <c r="V451" i="5" s="1"/>
  <c r="W451" i="5" s="1"/>
  <c r="N483" i="5"/>
  <c r="R520" i="5"/>
  <c r="N525" i="5"/>
  <c r="R528" i="5"/>
  <c r="V107" i="5"/>
  <c r="N29" i="5"/>
  <c r="R29" i="5" s="1"/>
  <c r="V29" i="5" s="1"/>
  <c r="W29" i="5" s="1"/>
  <c r="N45" i="5"/>
  <c r="R45" i="5" s="1"/>
  <c r="V45" i="5" s="1"/>
  <c r="W45" i="5" s="1"/>
  <c r="N81" i="5"/>
  <c r="R81" i="5" s="1"/>
  <c r="V81" i="5" s="1"/>
  <c r="W81" i="5" s="1"/>
  <c r="R104" i="5"/>
  <c r="V104" i="5" s="1"/>
  <c r="W104" i="5" s="1"/>
  <c r="R172" i="5"/>
  <c r="V172" i="5" s="1"/>
  <c r="W172" i="5" s="1"/>
  <c r="R173" i="5"/>
  <c r="R73" i="5"/>
  <c r="V73" i="5" s="1"/>
  <c r="W73" i="5" s="1"/>
  <c r="N99" i="5"/>
  <c r="R99" i="5" s="1"/>
  <c r="V99" i="5" s="1"/>
  <c r="W99" i="5" s="1"/>
  <c r="V167" i="5"/>
  <c r="W167" i="5" s="1"/>
  <c r="M170" i="5"/>
  <c r="N170" i="5" s="1"/>
  <c r="R170" i="5" s="1"/>
  <c r="V170" i="5" s="1"/>
  <c r="W170" i="5" s="1"/>
  <c r="M67" i="5"/>
  <c r="M91" i="5"/>
  <c r="N91" i="5" s="1"/>
  <c r="R91" i="5" s="1"/>
  <c r="V91" i="5" s="1"/>
  <c r="W91" i="5" s="1"/>
  <c r="R120" i="5"/>
  <c r="R121" i="5"/>
  <c r="V121" i="5" s="1"/>
  <c r="W121" i="5" s="1"/>
  <c r="R166" i="5"/>
  <c r="V166" i="5" s="1"/>
  <c r="W166" i="5" s="1"/>
  <c r="R171" i="5"/>
  <c r="N178" i="5"/>
  <c r="R179" i="5"/>
  <c r="R195" i="5"/>
  <c r="M268" i="5"/>
  <c r="N268" i="5" s="1"/>
  <c r="R268" i="5" s="1"/>
  <c r="V268" i="5" s="1"/>
  <c r="W268" i="5" s="1"/>
  <c r="V102" i="5"/>
  <c r="W102" i="5" s="1"/>
  <c r="M41" i="5"/>
  <c r="N41" i="5" s="1"/>
  <c r="R41" i="5" s="1"/>
  <c r="V41" i="5" s="1"/>
  <c r="W41" i="5" s="1"/>
  <c r="R108" i="5"/>
  <c r="V108" i="5" s="1"/>
  <c r="W108" i="5" s="1"/>
  <c r="M3" i="5"/>
  <c r="N3" i="5" s="1"/>
  <c r="R3" i="5" s="1"/>
  <c r="V3" i="5" s="1"/>
  <c r="W3" i="5" s="1"/>
  <c r="R7" i="5"/>
  <c r="V7" i="5" s="1"/>
  <c r="W7" i="5" s="1"/>
  <c r="N19" i="5"/>
  <c r="M51" i="5"/>
  <c r="N51" i="5" s="1"/>
  <c r="R51" i="5" s="1"/>
  <c r="V51" i="5" s="1"/>
  <c r="W51" i="5" s="1"/>
  <c r="M63" i="5"/>
  <c r="N63" i="5" s="1"/>
  <c r="R63" i="5" s="1"/>
  <c r="V63" i="5" s="1"/>
  <c r="W63" i="5" s="1"/>
  <c r="N87" i="5"/>
  <c r="M89" i="5"/>
  <c r="N89" i="5" s="1"/>
  <c r="R89" i="5" s="1"/>
  <c r="V89" i="5" s="1"/>
  <c r="W89" i="5" s="1"/>
  <c r="N95" i="5"/>
  <c r="R95" i="5" s="1"/>
  <c r="V95" i="5" s="1"/>
  <c r="W95" i="5" s="1"/>
  <c r="R110" i="5"/>
  <c r="V110" i="5" s="1"/>
  <c r="W110" i="5" s="1"/>
  <c r="N126" i="5"/>
  <c r="M148" i="5"/>
  <c r="N148" i="5" s="1"/>
  <c r="R148" i="5" s="1"/>
  <c r="V148" i="5" s="1"/>
  <c r="W148" i="5" s="1"/>
  <c r="R152" i="5"/>
  <c r="V152" i="5" s="1"/>
  <c r="W152" i="5" s="1"/>
  <c r="R154" i="5"/>
  <c r="N168" i="5"/>
  <c r="N184" i="5"/>
  <c r="R184" i="5" s="1"/>
  <c r="V184" i="5" s="1"/>
  <c r="W184" i="5" s="1"/>
  <c r="V67" i="5"/>
  <c r="W67" i="5" s="1"/>
  <c r="M142" i="5"/>
  <c r="N142" i="5" s="1"/>
  <c r="R142" i="5" s="1"/>
  <c r="V142" i="5" s="1"/>
  <c r="W142" i="5" s="1"/>
  <c r="R165" i="5"/>
  <c r="V165" i="5" s="1"/>
  <c r="W165" i="5" s="1"/>
  <c r="N240" i="5"/>
  <c r="N267" i="5"/>
  <c r="R267" i="5" s="1"/>
  <c r="V267" i="5" s="1"/>
  <c r="W267" i="5" s="1"/>
  <c r="N273" i="5"/>
  <c r="R273" i="5" s="1"/>
  <c r="V273" i="5" s="1"/>
  <c r="W273" i="5" s="1"/>
  <c r="R275" i="5"/>
  <c r="V275" i="5" s="1"/>
  <c r="W275" i="5" s="1"/>
  <c r="M283" i="5"/>
  <c r="N283" i="5" s="1"/>
  <c r="R283" i="5" s="1"/>
  <c r="V283" i="5" s="1"/>
  <c r="W283" i="5" s="1"/>
  <c r="R385" i="5"/>
  <c r="N15" i="5"/>
  <c r="R15" i="5" s="1"/>
  <c r="V15" i="5" s="1"/>
  <c r="W15" i="5" s="1"/>
  <c r="N17" i="5"/>
  <c r="M57" i="5"/>
  <c r="N57" i="5" s="1"/>
  <c r="R57" i="5" s="1"/>
  <c r="V57" i="5" s="1"/>
  <c r="W57" i="5" s="1"/>
  <c r="M59" i="5"/>
  <c r="N59" i="5" s="1"/>
  <c r="R59" i="5" s="1"/>
  <c r="V59" i="5" s="1"/>
  <c r="W59" i="5" s="1"/>
  <c r="R93" i="5"/>
  <c r="V93" i="5" s="1"/>
  <c r="W93" i="5" s="1"/>
  <c r="R94" i="5"/>
  <c r="V94" i="5" s="1"/>
  <c r="W94" i="5" s="1"/>
  <c r="M106" i="5"/>
  <c r="N106" i="5" s="1"/>
  <c r="R106" i="5" s="1"/>
  <c r="V106" i="5" s="1"/>
  <c r="W106" i="5" s="1"/>
  <c r="V109" i="5"/>
  <c r="V119" i="5"/>
  <c r="M132" i="5"/>
  <c r="N132" i="5" s="1"/>
  <c r="R132" i="5" s="1"/>
  <c r="V132" i="5" s="1"/>
  <c r="W132" i="5" s="1"/>
  <c r="M141" i="5"/>
  <c r="M160" i="5"/>
  <c r="N160" i="5" s="1"/>
  <c r="R160" i="5" s="1"/>
  <c r="V160" i="5" s="1"/>
  <c r="W160" i="5" s="1"/>
  <c r="N182" i="5"/>
  <c r="R18" i="5"/>
  <c r="R33" i="5"/>
  <c r="V33" i="5" s="1"/>
  <c r="W33" i="5" s="1"/>
  <c r="R48" i="5"/>
  <c r="V48" i="5" s="1"/>
  <c r="W48" i="5" s="1"/>
  <c r="N55" i="5"/>
  <c r="N71" i="5"/>
  <c r="R84" i="5"/>
  <c r="R161" i="5"/>
  <c r="N188" i="5"/>
  <c r="R188" i="5" s="1"/>
  <c r="V188" i="5" s="1"/>
  <c r="W188" i="5" s="1"/>
  <c r="N271" i="5"/>
  <c r="R271" i="5" s="1"/>
  <c r="V271" i="5" s="1"/>
  <c r="W271" i="5" s="1"/>
  <c r="M279" i="5"/>
  <c r="N279" i="5"/>
  <c r="V405" i="5"/>
  <c r="R531" i="5"/>
  <c r="R589" i="5"/>
  <c r="R178" i="5"/>
  <c r="R237" i="5"/>
  <c r="V237" i="5" s="1"/>
  <c r="W237" i="5" s="1"/>
  <c r="R269" i="5"/>
  <c r="R289" i="5"/>
  <c r="N295" i="5"/>
  <c r="N317" i="5"/>
  <c r="R317" i="5" s="1"/>
  <c r="V317" i="5" s="1"/>
  <c r="W317" i="5" s="1"/>
  <c r="R334" i="5"/>
  <c r="V334" i="5" s="1"/>
  <c r="W334" i="5" s="1"/>
  <c r="R399" i="5"/>
  <c r="V399" i="5" s="1"/>
  <c r="W399" i="5" s="1"/>
  <c r="R400" i="5"/>
  <c r="V400" i="5" s="1"/>
  <c r="W400" i="5" s="1"/>
  <c r="R410" i="5"/>
  <c r="V410" i="5" s="1"/>
  <c r="W410" i="5" s="1"/>
  <c r="R421" i="5"/>
  <c r="V421" i="5" s="1"/>
  <c r="W421" i="5" s="1"/>
  <c r="R442" i="5"/>
  <c r="V442" i="5" s="1"/>
  <c r="W442" i="5" s="1"/>
  <c r="N445" i="5"/>
  <c r="N450" i="5"/>
  <c r="R450" i="5" s="1"/>
  <c r="V450" i="5" s="1"/>
  <c r="W450" i="5" s="1"/>
  <c r="R464" i="5"/>
  <c r="R470" i="5"/>
  <c r="R504" i="5"/>
  <c r="V504" i="5" s="1"/>
  <c r="W504" i="5" s="1"/>
  <c r="R509" i="5"/>
  <c r="V509" i="5" s="1"/>
  <c r="W509" i="5" s="1"/>
  <c r="R518" i="5"/>
  <c r="R532" i="5"/>
  <c r="R537" i="5"/>
  <c r="R549" i="5"/>
  <c r="V549" i="5" s="1"/>
  <c r="W549" i="5" s="1"/>
  <c r="N563" i="5"/>
  <c r="R563" i="5" s="1"/>
  <c r="V563" i="5" s="1"/>
  <c r="W563" i="5" s="1"/>
  <c r="R247" i="5"/>
  <c r="R259" i="5"/>
  <c r="R261" i="5"/>
  <c r="V261" i="5" s="1"/>
  <c r="W261" i="5" s="1"/>
  <c r="R263" i="5"/>
  <c r="R265" i="5"/>
  <c r="V265" i="5" s="1"/>
  <c r="W265" i="5" s="1"/>
  <c r="R279" i="5"/>
  <c r="V279" i="5" s="1"/>
  <c r="W279" i="5" s="1"/>
  <c r="R381" i="5"/>
  <c r="V381" i="5" s="1"/>
  <c r="W381" i="5" s="1"/>
  <c r="R415" i="5"/>
  <c r="V415" i="5" s="1"/>
  <c r="R420" i="5"/>
  <c r="V420" i="5" s="1"/>
  <c r="W420" i="5" s="1"/>
  <c r="R435" i="5"/>
  <c r="V435" i="5" s="1"/>
  <c r="W435" i="5" s="1"/>
  <c r="R447" i="5"/>
  <c r="V447" i="5" s="1"/>
  <c r="W447" i="5" s="1"/>
  <c r="R449" i="5"/>
  <c r="V449" i="5" s="1"/>
  <c r="W449" i="5" s="1"/>
  <c r="R475" i="5"/>
  <c r="V475" i="5" s="1"/>
  <c r="R483" i="5"/>
  <c r="V483" i="5" s="1"/>
  <c r="W483" i="5" s="1"/>
  <c r="R510" i="5"/>
  <c r="V510" i="5" s="1"/>
  <c r="W510" i="5" s="1"/>
  <c r="R527" i="5"/>
  <c r="V527" i="5" s="1"/>
  <c r="R538" i="5"/>
  <c r="R544" i="5"/>
  <c r="R550" i="5"/>
  <c r="N561" i="5"/>
  <c r="R587" i="5"/>
  <c r="V587" i="5" s="1"/>
  <c r="W587" i="5" s="1"/>
  <c r="R278" i="5"/>
  <c r="V278" i="5" s="1"/>
  <c r="R318" i="5"/>
  <c r="V318" i="5" s="1"/>
  <c r="W318" i="5" s="1"/>
  <c r="V408" i="5"/>
  <c r="W408" i="5" s="1"/>
  <c r="R416" i="5"/>
  <c r="V416" i="5" s="1"/>
  <c r="W416" i="5" s="1"/>
  <c r="R419" i="5"/>
  <c r="V419" i="5" s="1"/>
  <c r="W419" i="5" s="1"/>
  <c r="R463" i="5"/>
  <c r="V463" i="5" s="1"/>
  <c r="W463" i="5" s="1"/>
  <c r="R481" i="5"/>
  <c r="V481" i="5" s="1"/>
  <c r="W481" i="5" s="1"/>
  <c r="R496" i="5"/>
  <c r="R501" i="5"/>
  <c r="V501" i="5" s="1"/>
  <c r="W501" i="5" s="1"/>
  <c r="R507" i="5"/>
  <c r="V507" i="5" s="1"/>
  <c r="W507" i="5" s="1"/>
  <c r="R516" i="5"/>
  <c r="R525" i="5"/>
  <c r="V525" i="5" s="1"/>
  <c r="W525" i="5" s="1"/>
  <c r="R535" i="5"/>
  <c r="V589" i="5"/>
  <c r="W589" i="5" s="1"/>
  <c r="R127" i="5"/>
  <c r="V127" i="5" s="1"/>
  <c r="W127" i="5" s="1"/>
  <c r="R272" i="5"/>
  <c r="V272" i="5" s="1"/>
  <c r="W272" i="5" s="1"/>
  <c r="R308" i="5"/>
  <c r="R387" i="5"/>
  <c r="V387" i="5" s="1"/>
  <c r="W387" i="5" s="1"/>
  <c r="R406" i="5"/>
  <c r="V406" i="5" s="1"/>
  <c r="W406" i="5" s="1"/>
  <c r="V409" i="5"/>
  <c r="R414" i="5"/>
  <c r="V414" i="5" s="1"/>
  <c r="W414" i="5" s="1"/>
  <c r="R425" i="5"/>
  <c r="V425" i="5" s="1"/>
  <c r="R443" i="5"/>
  <c r="R453" i="5"/>
  <c r="V453" i="5" s="1"/>
  <c r="W453" i="5" s="1"/>
  <c r="R459" i="5"/>
  <c r="V459" i="5" s="1"/>
  <c r="W459" i="5" s="1"/>
  <c r="N479" i="5"/>
  <c r="R479" i="5" s="1"/>
  <c r="N491" i="5"/>
  <c r="R491" i="5" s="1"/>
  <c r="V491" i="5" s="1"/>
  <c r="W491" i="5" s="1"/>
  <c r="R499" i="5"/>
  <c r="V499" i="5" s="1"/>
  <c r="W499" i="5" s="1"/>
  <c r="R514" i="5"/>
  <c r="N521" i="5"/>
  <c r="R521" i="5" s="1"/>
  <c r="V521" i="5" s="1"/>
  <c r="W521" i="5" s="1"/>
  <c r="R526" i="5"/>
  <c r="V530" i="5"/>
  <c r="W530" i="5" s="1"/>
  <c r="R592" i="5"/>
  <c r="R323" i="5"/>
  <c r="R401" i="5"/>
  <c r="V401" i="5" s="1"/>
  <c r="R412" i="5"/>
  <c r="V412" i="5" s="1"/>
  <c r="W412" i="5" s="1"/>
  <c r="R489" i="5"/>
  <c r="V489" i="5" s="1"/>
  <c r="W489" i="5" s="1"/>
  <c r="R494" i="5"/>
  <c r="R500" i="5"/>
  <c r="R506" i="5"/>
  <c r="N519" i="5"/>
  <c r="R519" i="5" s="1"/>
  <c r="V519" i="5" s="1"/>
  <c r="W519" i="5" s="1"/>
  <c r="R218" i="5"/>
  <c r="V218" i="5" s="1"/>
  <c r="W218" i="5" s="1"/>
  <c r="R251" i="5"/>
  <c r="V251" i="5" s="1"/>
  <c r="W251" i="5" s="1"/>
  <c r="R260" i="5"/>
  <c r="R264" i="5"/>
  <c r="R285" i="5"/>
  <c r="V285" i="5" s="1"/>
  <c r="W285" i="5" s="1"/>
  <c r="R286" i="5"/>
  <c r="V286" i="5" s="1"/>
  <c r="N345" i="5"/>
  <c r="R345" i="5" s="1"/>
  <c r="V345" i="5" s="1"/>
  <c r="W345" i="5" s="1"/>
  <c r="V380" i="5"/>
  <c r="W380" i="5" s="1"/>
  <c r="R411" i="5"/>
  <c r="V411" i="5" s="1"/>
  <c r="W411" i="5" s="1"/>
  <c r="R423" i="5"/>
  <c r="V423" i="5" s="1"/>
  <c r="W423" i="5" s="1"/>
  <c r="N437" i="5"/>
  <c r="R437" i="5" s="1"/>
  <c r="N438" i="5"/>
  <c r="R471" i="5"/>
  <c r="V471" i="5" s="1"/>
  <c r="W471" i="5" s="1"/>
  <c r="R478" i="5"/>
  <c r="N487" i="5"/>
  <c r="R487" i="5" s="1"/>
  <c r="V487" i="5" s="1"/>
  <c r="W487" i="5" s="1"/>
  <c r="R512" i="5"/>
  <c r="V512" i="5" s="1"/>
  <c r="W512" i="5" s="1"/>
  <c r="R539" i="5"/>
  <c r="V539" i="5" s="1"/>
  <c r="W539" i="5" s="1"/>
  <c r="R546" i="5"/>
  <c r="V546" i="5" s="1"/>
  <c r="W546" i="5" s="1"/>
  <c r="L5" i="3"/>
  <c r="L69" i="3"/>
  <c r="L386" i="3"/>
  <c r="L42" i="3"/>
  <c r="L45" i="3"/>
  <c r="L95" i="3"/>
  <c r="L159" i="3"/>
  <c r="L223" i="3"/>
  <c r="L321" i="3"/>
  <c r="K321" i="3"/>
  <c r="L332" i="3"/>
  <c r="L385" i="3"/>
  <c r="K385" i="3"/>
  <c r="L418" i="3"/>
  <c r="L450" i="3"/>
  <c r="L468" i="3"/>
  <c r="K468" i="3"/>
  <c r="L526" i="3"/>
  <c r="K526" i="3"/>
  <c r="L100" i="3"/>
  <c r="L345" i="3"/>
  <c r="K345" i="3"/>
  <c r="L356" i="3"/>
  <c r="L399" i="3"/>
  <c r="L407" i="3"/>
  <c r="L415" i="3"/>
  <c r="L423" i="3"/>
  <c r="L431" i="3"/>
  <c r="L439" i="3"/>
  <c r="L447" i="3"/>
  <c r="K544" i="3"/>
  <c r="L544" i="3"/>
  <c r="L76" i="3"/>
  <c r="L140" i="3"/>
  <c r="L23" i="3"/>
  <c r="L281" i="3"/>
  <c r="K281" i="3"/>
  <c r="L47" i="3"/>
  <c r="L124" i="3"/>
  <c r="L252" i="3"/>
  <c r="L316" i="3"/>
  <c r="L369" i="3"/>
  <c r="K369" i="3"/>
  <c r="L374" i="3"/>
  <c r="L380" i="3"/>
  <c r="L393" i="3"/>
  <c r="K393" i="3"/>
  <c r="L401" i="3"/>
  <c r="K401" i="3"/>
  <c r="L409" i="3"/>
  <c r="K409" i="3"/>
  <c r="L417" i="3"/>
  <c r="K417" i="3"/>
  <c r="L425" i="3"/>
  <c r="K425" i="3"/>
  <c r="L433" i="3"/>
  <c r="K433" i="3"/>
  <c r="L441" i="3"/>
  <c r="K441" i="3"/>
  <c r="L449" i="3"/>
  <c r="K449" i="3"/>
  <c r="K455" i="3"/>
  <c r="L471" i="3"/>
  <c r="L473" i="3"/>
  <c r="L498" i="3"/>
  <c r="K528" i="3"/>
  <c r="K494" i="3"/>
  <c r="L494" i="3"/>
  <c r="L542" i="3"/>
  <c r="K542" i="3"/>
  <c r="K552" i="3"/>
  <c r="L552" i="3"/>
  <c r="L305" i="3"/>
  <c r="K305" i="3"/>
  <c r="K82" i="3"/>
  <c r="K135" i="3"/>
  <c r="L230" i="3"/>
  <c r="L239" i="3"/>
  <c r="K423" i="3"/>
  <c r="K518" i="3"/>
  <c r="L518" i="3"/>
  <c r="L550" i="3"/>
  <c r="K550" i="3"/>
  <c r="L555" i="3"/>
  <c r="K555" i="3"/>
  <c r="L41" i="3"/>
  <c r="L7" i="3"/>
  <c r="K34" i="3"/>
  <c r="K45" i="3"/>
  <c r="L60" i="3"/>
  <c r="K60" i="3"/>
  <c r="L84" i="3"/>
  <c r="K111" i="3"/>
  <c r="L148" i="3"/>
  <c r="L212" i="3"/>
  <c r="L265" i="3"/>
  <c r="K265" i="3"/>
  <c r="L270" i="3"/>
  <c r="L340" i="3"/>
  <c r="K5" i="3"/>
  <c r="L31" i="3"/>
  <c r="L108" i="3"/>
  <c r="L122" i="3"/>
  <c r="L186" i="3"/>
  <c r="L289" i="3"/>
  <c r="K289" i="3"/>
  <c r="L14" i="3"/>
  <c r="K18" i="3"/>
  <c r="L71" i="3"/>
  <c r="L91" i="3"/>
  <c r="K95" i="3"/>
  <c r="L121" i="3"/>
  <c r="K121" i="3"/>
  <c r="L155" i="3"/>
  <c r="K159" i="3"/>
  <c r="L190" i="3"/>
  <c r="L199" i="3"/>
  <c r="L249" i="3"/>
  <c r="K249" i="3"/>
  <c r="K307" i="3"/>
  <c r="K362" i="3"/>
  <c r="K371" i="3"/>
  <c r="K380" i="3"/>
  <c r="L382" i="3"/>
  <c r="L388" i="3"/>
  <c r="L458" i="3"/>
  <c r="L487" i="3"/>
  <c r="L522" i="3"/>
  <c r="L52" i="3"/>
  <c r="K52" i="3"/>
  <c r="L204" i="3"/>
  <c r="L89" i="3"/>
  <c r="K89" i="3"/>
  <c r="L228" i="3"/>
  <c r="L113" i="3"/>
  <c r="K113" i="3"/>
  <c r="L182" i="3"/>
  <c r="L241" i="3"/>
  <c r="K241" i="3"/>
  <c r="K54" i="3"/>
  <c r="L73" i="3"/>
  <c r="K73" i="3"/>
  <c r="K76" i="3"/>
  <c r="K140" i="3"/>
  <c r="K195" i="3"/>
  <c r="L201" i="3"/>
  <c r="K201" i="3"/>
  <c r="K303" i="3"/>
  <c r="K314" i="3"/>
  <c r="K323" i="3"/>
  <c r="L334" i="3"/>
  <c r="K367" i="3"/>
  <c r="K23" i="3"/>
  <c r="L25" i="3"/>
  <c r="L102" i="3"/>
  <c r="L166" i="3"/>
  <c r="K210" i="3"/>
  <c r="K219" i="3"/>
  <c r="L236" i="3"/>
  <c r="K283" i="3"/>
  <c r="L300" i="3"/>
  <c r="K327" i="3"/>
  <c r="K338" i="3"/>
  <c r="K347" i="3"/>
  <c r="K356" i="3"/>
  <c r="L358" i="3"/>
  <c r="K407" i="3"/>
  <c r="K415" i="3"/>
  <c r="L44" i="3"/>
  <c r="K44" i="3"/>
  <c r="K47" i="3"/>
  <c r="L49" i="3"/>
  <c r="L58" i="3"/>
  <c r="K106" i="3"/>
  <c r="K115" i="3"/>
  <c r="L132" i="3"/>
  <c r="K170" i="3"/>
  <c r="L185" i="3"/>
  <c r="K185" i="3"/>
  <c r="K223" i="3"/>
  <c r="K234" i="3"/>
  <c r="K243" i="3"/>
  <c r="L260" i="3"/>
  <c r="L263" i="3"/>
  <c r="L313" i="3"/>
  <c r="K313" i="3"/>
  <c r="K316" i="3"/>
  <c r="L324" i="3"/>
  <c r="K351" i="3"/>
  <c r="L377" i="3"/>
  <c r="K377" i="3"/>
  <c r="L4" i="3"/>
  <c r="K4" i="3"/>
  <c r="K7" i="3"/>
  <c r="L9" i="3"/>
  <c r="L15" i="3"/>
  <c r="L29" i="3"/>
  <c r="L38" i="3"/>
  <c r="K42" i="3"/>
  <c r="K53" i="3"/>
  <c r="K62" i="3"/>
  <c r="L68" i="3"/>
  <c r="K68" i="3"/>
  <c r="K75" i="3"/>
  <c r="L81" i="3"/>
  <c r="K81" i="3"/>
  <c r="K84" i="3"/>
  <c r="L86" i="3"/>
  <c r="L92" i="3"/>
  <c r="K119" i="3"/>
  <c r="K130" i="3"/>
  <c r="K139" i="3"/>
  <c r="L145" i="3"/>
  <c r="K145" i="3"/>
  <c r="K148" i="3"/>
  <c r="L150" i="3"/>
  <c r="L156" i="3"/>
  <c r="L179" i="3"/>
  <c r="K183" i="3"/>
  <c r="K194" i="3"/>
  <c r="K203" i="3"/>
  <c r="L209" i="3"/>
  <c r="K209" i="3"/>
  <c r="K212" i="3"/>
  <c r="L214" i="3"/>
  <c r="L220" i="3"/>
  <c r="K247" i="3"/>
  <c r="K258" i="3"/>
  <c r="K267" i="3"/>
  <c r="L273" i="3"/>
  <c r="K273" i="3"/>
  <c r="L278" i="3"/>
  <c r="L284" i="3"/>
  <c r="L287" i="3"/>
  <c r="L298" i="3"/>
  <c r="K311" i="3"/>
  <c r="K322" i="3"/>
  <c r="K331" i="3"/>
  <c r="L337" i="3"/>
  <c r="K337" i="3"/>
  <c r="K340" i="3"/>
  <c r="L342" i="3"/>
  <c r="L348" i="3"/>
  <c r="K375" i="3"/>
  <c r="K386" i="3"/>
  <c r="K396" i="3"/>
  <c r="L396" i="3"/>
  <c r="L404" i="3"/>
  <c r="K404" i="3"/>
  <c r="K412" i="3"/>
  <c r="L412" i="3"/>
  <c r="L420" i="3"/>
  <c r="K420" i="3"/>
  <c r="K428" i="3"/>
  <c r="L428" i="3"/>
  <c r="K436" i="3"/>
  <c r="L436" i="3"/>
  <c r="K444" i="3"/>
  <c r="L444" i="3"/>
  <c r="L452" i="3"/>
  <c r="K452" i="3"/>
  <c r="L483" i="3"/>
  <c r="K483" i="3"/>
  <c r="L511" i="3"/>
  <c r="K511" i="3"/>
  <c r="K520" i="3"/>
  <c r="K537" i="3"/>
  <c r="L63" i="3"/>
  <c r="L129" i="3"/>
  <c r="K129" i="3"/>
  <c r="L193" i="3"/>
  <c r="K193" i="3"/>
  <c r="L257" i="3"/>
  <c r="K257" i="3"/>
  <c r="L268" i="3"/>
  <c r="L12" i="3"/>
  <c r="K12" i="3"/>
  <c r="L153" i="3"/>
  <c r="K153" i="3"/>
  <c r="L164" i="3"/>
  <c r="L217" i="3"/>
  <c r="K217" i="3"/>
  <c r="L292" i="3"/>
  <c r="L36" i="3"/>
  <c r="K36" i="3"/>
  <c r="L118" i="3"/>
  <c r="L177" i="3"/>
  <c r="K177" i="3"/>
  <c r="L188" i="3"/>
  <c r="L246" i="3"/>
  <c r="L310" i="3"/>
  <c r="K63" i="3"/>
  <c r="L65" i="3"/>
  <c r="L78" i="3"/>
  <c r="K131" i="3"/>
  <c r="L137" i="3"/>
  <c r="K137" i="3"/>
  <c r="L142" i="3"/>
  <c r="K175" i="3"/>
  <c r="K204" i="3"/>
  <c r="L206" i="3"/>
  <c r="K250" i="3"/>
  <c r="K259" i="3"/>
  <c r="L276" i="3"/>
  <c r="L329" i="3"/>
  <c r="K329" i="3"/>
  <c r="K332" i="3"/>
  <c r="L460" i="3"/>
  <c r="K460" i="3"/>
  <c r="L20" i="3"/>
  <c r="K20" i="3"/>
  <c r="K69" i="3"/>
  <c r="L97" i="3"/>
  <c r="K97" i="3"/>
  <c r="K100" i="3"/>
  <c r="K146" i="3"/>
  <c r="L161" i="3"/>
  <c r="K161" i="3"/>
  <c r="L172" i="3"/>
  <c r="L225" i="3"/>
  <c r="K225" i="3"/>
  <c r="K228" i="3"/>
  <c r="K274" i="3"/>
  <c r="K292" i="3"/>
  <c r="L294" i="3"/>
  <c r="L353" i="3"/>
  <c r="K353" i="3"/>
  <c r="L364" i="3"/>
  <c r="K391" i="3"/>
  <c r="K399" i="3"/>
  <c r="L55" i="3"/>
  <c r="K124" i="3"/>
  <c r="L126" i="3"/>
  <c r="L196" i="3"/>
  <c r="K252" i="3"/>
  <c r="L254" i="3"/>
  <c r="L318" i="3"/>
  <c r="L28" i="3"/>
  <c r="K28" i="3"/>
  <c r="K31" i="3"/>
  <c r="L33" i="3"/>
  <c r="L39" i="3"/>
  <c r="L105" i="3"/>
  <c r="K105" i="3"/>
  <c r="K108" i="3"/>
  <c r="L110" i="3"/>
  <c r="L116" i="3"/>
  <c r="L169" i="3"/>
  <c r="K169" i="3"/>
  <c r="K172" i="3"/>
  <c r="L174" i="3"/>
  <c r="L180" i="3"/>
  <c r="L233" i="3"/>
  <c r="K233" i="3"/>
  <c r="K236" i="3"/>
  <c r="L238" i="3"/>
  <c r="L244" i="3"/>
  <c r="L297" i="3"/>
  <c r="K297" i="3"/>
  <c r="K300" i="3"/>
  <c r="L302" i="3"/>
  <c r="L308" i="3"/>
  <c r="L361" i="3"/>
  <c r="K361" i="3"/>
  <c r="K364" i="3"/>
  <c r="L366" i="3"/>
  <c r="L372" i="3"/>
  <c r="L454" i="3"/>
  <c r="K463" i="3"/>
  <c r="L474" i="3"/>
  <c r="L481" i="3"/>
  <c r="K486" i="3"/>
  <c r="L486" i="3"/>
  <c r="K502" i="3"/>
  <c r="L502" i="3"/>
  <c r="L561" i="3"/>
  <c r="L574" i="3"/>
  <c r="K574" i="3"/>
  <c r="K576" i="3"/>
  <c r="L576" i="3"/>
  <c r="N11" i="5"/>
  <c r="R11" i="5" s="1"/>
  <c r="V11" i="5" s="1"/>
  <c r="W11" i="5" s="1"/>
  <c r="L563" i="3"/>
  <c r="K563" i="3"/>
  <c r="M8" i="5"/>
  <c r="N8" i="5" s="1"/>
  <c r="R8" i="5" s="1"/>
  <c r="V8" i="5" s="1"/>
  <c r="W8" i="5" s="1"/>
  <c r="L539" i="3"/>
  <c r="K539" i="3"/>
  <c r="L577" i="3"/>
  <c r="K586" i="3"/>
  <c r="L586" i="3"/>
  <c r="V18" i="5"/>
  <c r="W18" i="5" s="1"/>
  <c r="L496" i="3"/>
  <c r="L513" i="3"/>
  <c r="L553" i="3"/>
  <c r="K561" i="3"/>
  <c r="L566" i="3"/>
  <c r="K566" i="3"/>
  <c r="K568" i="3"/>
  <c r="L568" i="3"/>
  <c r="L579" i="3"/>
  <c r="K579" i="3"/>
  <c r="L589" i="3"/>
  <c r="K589" i="3"/>
  <c r="L591" i="3"/>
  <c r="K591" i="3"/>
  <c r="L584" i="3"/>
  <c r="K584" i="3"/>
  <c r="L531" i="3"/>
  <c r="K531" i="3"/>
  <c r="K577" i="3"/>
  <c r="L582" i="3"/>
  <c r="K582" i="3"/>
  <c r="K457" i="3"/>
  <c r="K465" i="3"/>
  <c r="K473" i="3"/>
  <c r="K478" i="3"/>
  <c r="K496" i="3"/>
  <c r="K513" i="3"/>
  <c r="L545" i="3"/>
  <c r="K553" i="3"/>
  <c r="L558" i="3"/>
  <c r="K558" i="3"/>
  <c r="K560" i="3"/>
  <c r="L560" i="3"/>
  <c r="L571" i="3"/>
  <c r="K571" i="3"/>
  <c r="M4" i="5"/>
  <c r="N4" i="5" s="1"/>
  <c r="R4" i="5" s="1"/>
  <c r="V4" i="5" s="1"/>
  <c r="W4" i="5" s="1"/>
  <c r="M5" i="5"/>
  <c r="N5" i="5" s="1"/>
  <c r="R5" i="5" s="1"/>
  <c r="V5" i="5" s="1"/>
  <c r="W5" i="5" s="1"/>
  <c r="L497" i="3"/>
  <c r="L512" i="3"/>
  <c r="L534" i="3"/>
  <c r="K534" i="3"/>
  <c r="K536" i="3"/>
  <c r="L536" i="3"/>
  <c r="L547" i="3"/>
  <c r="K547" i="3"/>
  <c r="N10" i="5"/>
  <c r="R10" i="5" s="1"/>
  <c r="V10" i="5" s="1"/>
  <c r="W10" i="5" s="1"/>
  <c r="N9" i="5"/>
  <c r="R9" i="5" s="1"/>
  <c r="V9" i="5" s="1"/>
  <c r="W9" i="5" s="1"/>
  <c r="N16" i="5"/>
  <c r="R16" i="5" s="1"/>
  <c r="V16" i="5" s="1"/>
  <c r="W16" i="5" s="1"/>
  <c r="R21" i="5"/>
  <c r="V21" i="5" s="1"/>
  <c r="W21" i="5" s="1"/>
  <c r="N22" i="5"/>
  <c r="R22" i="5" s="1"/>
  <c r="V22" i="5" s="1"/>
  <c r="W22" i="5" s="1"/>
  <c r="N31" i="5"/>
  <c r="R31" i="5" s="1"/>
  <c r="V31" i="5" s="1"/>
  <c r="W31" i="5" s="1"/>
  <c r="R37" i="5"/>
  <c r="V37" i="5" s="1"/>
  <c r="W37" i="5" s="1"/>
  <c r="N38" i="5"/>
  <c r="R38" i="5" s="1"/>
  <c r="V38" i="5" s="1"/>
  <c r="W38" i="5" s="1"/>
  <c r="N47" i="5"/>
  <c r="R47" i="5" s="1"/>
  <c r="V47" i="5" s="1"/>
  <c r="W47" i="5" s="1"/>
  <c r="N53" i="5"/>
  <c r="R53" i="5" s="1"/>
  <c r="V53" i="5" s="1"/>
  <c r="W53" i="5" s="1"/>
  <c r="N60" i="5"/>
  <c r="R60" i="5" s="1"/>
  <c r="V60" i="5" s="1"/>
  <c r="W60" i="5" s="1"/>
  <c r="N83" i="5"/>
  <c r="R83" i="5" s="1"/>
  <c r="V83" i="5" s="1"/>
  <c r="W83" i="5" s="1"/>
  <c r="R87" i="5"/>
  <c r="V87" i="5" s="1"/>
  <c r="W87" i="5" s="1"/>
  <c r="N113" i="5"/>
  <c r="R113" i="5" s="1"/>
  <c r="V113" i="5" s="1"/>
  <c r="W113" i="5" s="1"/>
  <c r="N115" i="5"/>
  <c r="R115" i="5" s="1"/>
  <c r="V115" i="5" s="1"/>
  <c r="W115" i="5" s="1"/>
  <c r="N130" i="5"/>
  <c r="R130" i="5" s="1"/>
  <c r="V130" i="5" s="1"/>
  <c r="W130" i="5" s="1"/>
  <c r="N139" i="5"/>
  <c r="R139" i="5" s="1"/>
  <c r="V139" i="5" s="1"/>
  <c r="W139" i="5" s="1"/>
  <c r="V141" i="5"/>
  <c r="W141" i="5" s="1"/>
  <c r="C20" i="1" s="1"/>
  <c r="V154" i="5"/>
  <c r="W154" i="5" s="1"/>
  <c r="V161" i="5"/>
  <c r="W161" i="5" s="1"/>
  <c r="N32" i="5"/>
  <c r="R32" i="5" s="1"/>
  <c r="V32" i="5" s="1"/>
  <c r="W32" i="5" s="1"/>
  <c r="N54" i="5"/>
  <c r="R54" i="5" s="1"/>
  <c r="V54" i="5" s="1"/>
  <c r="W54" i="5" s="1"/>
  <c r="R69" i="5"/>
  <c r="V69" i="5" s="1"/>
  <c r="W69" i="5" s="1"/>
  <c r="N70" i="5"/>
  <c r="R70" i="5" s="1"/>
  <c r="V70" i="5" s="1"/>
  <c r="W70" i="5" s="1"/>
  <c r="N116" i="5"/>
  <c r="R116" i="5" s="1"/>
  <c r="V116" i="5" s="1"/>
  <c r="W116" i="5" s="1"/>
  <c r="M122" i="5"/>
  <c r="N122" i="5" s="1"/>
  <c r="M131" i="5"/>
  <c r="N131" i="5" s="1"/>
  <c r="R131" i="5" s="1"/>
  <c r="V131" i="5" s="1"/>
  <c r="W131" i="5" s="1"/>
  <c r="N133" i="5"/>
  <c r="R133" i="5" s="1"/>
  <c r="V133" i="5" s="1"/>
  <c r="W133" i="5" s="1"/>
  <c r="N140" i="5"/>
  <c r="R140" i="5" s="1"/>
  <c r="V140" i="5" s="1"/>
  <c r="W140" i="5" s="1"/>
  <c r="R158" i="5"/>
  <c r="V158" i="5" s="1"/>
  <c r="W158" i="5" s="1"/>
  <c r="M159" i="5"/>
  <c r="N159" i="5" s="1"/>
  <c r="R159" i="5" s="1"/>
  <c r="V159" i="5" s="1"/>
  <c r="W159" i="5" s="1"/>
  <c r="R25" i="5"/>
  <c r="V25" i="5" s="1"/>
  <c r="W25" i="5" s="1"/>
  <c r="M124" i="5"/>
  <c r="N124" i="5" s="1"/>
  <c r="R124" i="5" s="1"/>
  <c r="V124" i="5" s="1"/>
  <c r="W124" i="5" s="1"/>
  <c r="M153" i="5"/>
  <c r="N153" i="5" s="1"/>
  <c r="R153" i="5" s="1"/>
  <c r="V153" i="5" s="1"/>
  <c r="W153" i="5" s="1"/>
  <c r="M175" i="5"/>
  <c r="N175" i="5" s="1"/>
  <c r="R175" i="5" s="1"/>
  <c r="V175" i="5" s="1"/>
  <c r="W175" i="5" s="1"/>
  <c r="R13" i="5"/>
  <c r="V13" i="5" s="1"/>
  <c r="W13" i="5" s="1"/>
  <c r="N14" i="5"/>
  <c r="R14" i="5" s="1"/>
  <c r="V14" i="5" s="1"/>
  <c r="W14" i="5" s="1"/>
  <c r="R19" i="5"/>
  <c r="V19" i="5" s="1"/>
  <c r="W19" i="5" s="1"/>
  <c r="N20" i="5"/>
  <c r="R20" i="5" s="1"/>
  <c r="V20" i="5" s="1"/>
  <c r="W20" i="5" s="1"/>
  <c r="M26" i="5"/>
  <c r="N26" i="5" s="1"/>
  <c r="R26" i="5" s="1"/>
  <c r="V26" i="5" s="1"/>
  <c r="W26" i="5" s="1"/>
  <c r="R35" i="5"/>
  <c r="V35" i="5" s="1"/>
  <c r="W35" i="5" s="1"/>
  <c r="N36" i="5"/>
  <c r="R36" i="5" s="1"/>
  <c r="V36" i="5" s="1"/>
  <c r="W36" i="5" s="1"/>
  <c r="M42" i="5"/>
  <c r="N42" i="5" s="1"/>
  <c r="R42" i="5" s="1"/>
  <c r="V42" i="5" s="1"/>
  <c r="W42" i="5" s="1"/>
  <c r="N58" i="5"/>
  <c r="R58" i="5" s="1"/>
  <c r="V58" i="5" s="1"/>
  <c r="W58" i="5" s="1"/>
  <c r="M64" i="5"/>
  <c r="N64" i="5" s="1"/>
  <c r="R64" i="5" s="1"/>
  <c r="V64" i="5" s="1"/>
  <c r="W64" i="5" s="1"/>
  <c r="M75" i="5"/>
  <c r="N75" i="5" s="1"/>
  <c r="R75" i="5" s="1"/>
  <c r="V75" i="5" s="1"/>
  <c r="W75" i="5" s="1"/>
  <c r="M105" i="5"/>
  <c r="N105" i="5" s="1"/>
  <c r="R105" i="5" s="1"/>
  <c r="V105" i="5" s="1"/>
  <c r="W105" i="5" s="1"/>
  <c r="R114" i="5"/>
  <c r="V114" i="5" s="1"/>
  <c r="W114" i="5" s="1"/>
  <c r="M134" i="5"/>
  <c r="N134" i="5" s="1"/>
  <c r="R134" i="5" s="1"/>
  <c r="V134" i="5" s="1"/>
  <c r="W134" i="5" s="1"/>
  <c r="R138" i="5"/>
  <c r="V138" i="5" s="1"/>
  <c r="W138" i="5" s="1"/>
  <c r="M155" i="5"/>
  <c r="N155" i="5" s="1"/>
  <c r="R155" i="5" s="1"/>
  <c r="V155" i="5" s="1"/>
  <c r="W155" i="5" s="1"/>
  <c r="N156" i="5"/>
  <c r="R156" i="5" s="1"/>
  <c r="V156" i="5" s="1"/>
  <c r="W156" i="5" s="1"/>
  <c r="M162" i="5"/>
  <c r="N162" i="5" s="1"/>
  <c r="R162" i="5" s="1"/>
  <c r="V162" i="5" s="1"/>
  <c r="W162" i="5" s="1"/>
  <c r="W109" i="5"/>
  <c r="M125" i="5"/>
  <c r="N125" i="5" s="1"/>
  <c r="R125" i="5" s="1"/>
  <c r="V125" i="5" s="1"/>
  <c r="W125" i="5" s="1"/>
  <c r="M164" i="5"/>
  <c r="N164" i="5" s="1"/>
  <c r="R164" i="5" s="1"/>
  <c r="V164" i="5" s="1"/>
  <c r="W164" i="5" s="1"/>
  <c r="M183" i="5"/>
  <c r="N183" i="5" s="1"/>
  <c r="R183" i="5" s="1"/>
  <c r="V183" i="5" s="1"/>
  <c r="W183" i="5" s="1"/>
  <c r="N2" i="5"/>
  <c r="R2" i="5" s="1"/>
  <c r="V2" i="5" s="1"/>
  <c r="U603" i="5"/>
  <c r="R17" i="5"/>
  <c r="V17" i="5" s="1"/>
  <c r="W17" i="5" s="1"/>
  <c r="R23" i="5"/>
  <c r="V23" i="5" s="1"/>
  <c r="W23" i="5" s="1"/>
  <c r="N24" i="5"/>
  <c r="R24" i="5" s="1"/>
  <c r="V24" i="5" s="1"/>
  <c r="W24" i="5" s="1"/>
  <c r="M30" i="5"/>
  <c r="N30" i="5" s="1"/>
  <c r="R30" i="5" s="1"/>
  <c r="V30" i="5" s="1"/>
  <c r="W30" i="5" s="1"/>
  <c r="R39" i="5"/>
  <c r="V39" i="5" s="1"/>
  <c r="W39" i="5" s="1"/>
  <c r="N40" i="5"/>
  <c r="R40" i="5" s="1"/>
  <c r="V40" i="5" s="1"/>
  <c r="W40" i="5" s="1"/>
  <c r="M43" i="5"/>
  <c r="N43" i="5" s="1"/>
  <c r="R43" i="5" s="1"/>
  <c r="V43" i="5" s="1"/>
  <c r="W43" i="5" s="1"/>
  <c r="M46" i="5"/>
  <c r="N46" i="5" s="1"/>
  <c r="R46" i="5" s="1"/>
  <c r="V46" i="5" s="1"/>
  <c r="W46" i="5" s="1"/>
  <c r="M49" i="5"/>
  <c r="N49" i="5" s="1"/>
  <c r="R49" i="5" s="1"/>
  <c r="V49" i="5" s="1"/>
  <c r="W49" i="5" s="1"/>
  <c r="M52" i="5"/>
  <c r="N52" i="5" s="1"/>
  <c r="R52" i="5" s="1"/>
  <c r="V52" i="5" s="1"/>
  <c r="W52" i="5" s="1"/>
  <c r="R61" i="5"/>
  <c r="V61" i="5" s="1"/>
  <c r="W61" i="5" s="1"/>
  <c r="N62" i="5"/>
  <c r="R62" i="5" s="1"/>
  <c r="V62" i="5" s="1"/>
  <c r="W62" i="5" s="1"/>
  <c r="M68" i="5"/>
  <c r="N68" i="5" s="1"/>
  <c r="R68" i="5" s="1"/>
  <c r="V68" i="5" s="1"/>
  <c r="W68" i="5" s="1"/>
  <c r="R85" i="5"/>
  <c r="V85" i="5" s="1"/>
  <c r="W85" i="5" s="1"/>
  <c r="M101" i="5"/>
  <c r="N101" i="5" s="1"/>
  <c r="R101" i="5" s="1"/>
  <c r="V101" i="5" s="1"/>
  <c r="W101" i="5" s="1"/>
  <c r="R118" i="5"/>
  <c r="V118" i="5" s="1"/>
  <c r="W118" i="5" s="1"/>
  <c r="V120" i="5"/>
  <c r="W120" i="5" s="1"/>
  <c r="V178" i="5"/>
  <c r="W178" i="5" s="1"/>
  <c r="V179" i="5"/>
  <c r="W179" i="5" s="1"/>
  <c r="R55" i="5"/>
  <c r="V55" i="5" s="1"/>
  <c r="W55" i="5" s="1"/>
  <c r="R71" i="5"/>
  <c r="V71" i="5" s="1"/>
  <c r="W71" i="5" s="1"/>
  <c r="M72" i="5"/>
  <c r="N72" i="5" s="1"/>
  <c r="R72" i="5" s="1"/>
  <c r="V72" i="5" s="1"/>
  <c r="W72" i="5" s="1"/>
  <c r="M77" i="5"/>
  <c r="N77" i="5" s="1"/>
  <c r="R77" i="5" s="1"/>
  <c r="V77" i="5" s="1"/>
  <c r="W77" i="5" s="1"/>
  <c r="W119" i="5"/>
  <c r="M128" i="5"/>
  <c r="N128" i="5" s="1"/>
  <c r="R128" i="5" s="1"/>
  <c r="V128" i="5" s="1"/>
  <c r="W128" i="5" s="1"/>
  <c r="R136" i="5"/>
  <c r="V136" i="5" s="1"/>
  <c r="W136" i="5" s="1"/>
  <c r="M143" i="5"/>
  <c r="N143" i="5" s="1"/>
  <c r="R143" i="5" s="1"/>
  <c r="V143" i="5" s="1"/>
  <c r="W143" i="5" s="1"/>
  <c r="V171" i="5"/>
  <c r="W171" i="5" s="1"/>
  <c r="L583" i="3"/>
  <c r="N6" i="5"/>
  <c r="R6" i="5" s="1"/>
  <c r="V6" i="5" s="1"/>
  <c r="W6" i="5" s="1"/>
  <c r="M12" i="5"/>
  <c r="N12" i="5" s="1"/>
  <c r="R12" i="5" s="1"/>
  <c r="V12" i="5" s="1"/>
  <c r="W12" i="5" s="1"/>
  <c r="R27" i="5"/>
  <c r="V27" i="5" s="1"/>
  <c r="W27" i="5" s="1"/>
  <c r="N28" i="5"/>
  <c r="R28" i="5" s="1"/>
  <c r="V28" i="5" s="1"/>
  <c r="W28" i="5" s="1"/>
  <c r="M34" i="5"/>
  <c r="N34" i="5" s="1"/>
  <c r="R34" i="5" s="1"/>
  <c r="V34" i="5" s="1"/>
  <c r="W34" i="5" s="1"/>
  <c r="N44" i="5"/>
  <c r="R44" i="5" s="1"/>
  <c r="V44" i="5" s="1"/>
  <c r="W44" i="5" s="1"/>
  <c r="N50" i="5"/>
  <c r="R50" i="5" s="1"/>
  <c r="V50" i="5" s="1"/>
  <c r="W50" i="5" s="1"/>
  <c r="M56" i="5"/>
  <c r="N56" i="5" s="1"/>
  <c r="R56" i="5" s="1"/>
  <c r="V56" i="5" s="1"/>
  <c r="W56" i="5" s="1"/>
  <c r="R65" i="5"/>
  <c r="V65" i="5" s="1"/>
  <c r="W65" i="5" s="1"/>
  <c r="N66" i="5"/>
  <c r="R66" i="5" s="1"/>
  <c r="V66" i="5" s="1"/>
  <c r="W66" i="5" s="1"/>
  <c r="V84" i="5"/>
  <c r="W84" i="5" s="1"/>
  <c r="W107" i="5"/>
  <c r="R126" i="5"/>
  <c r="V126" i="5" s="1"/>
  <c r="W126" i="5" s="1"/>
  <c r="M149" i="5"/>
  <c r="N149" i="5" s="1"/>
  <c r="R149" i="5" s="1"/>
  <c r="V149" i="5" s="1"/>
  <c r="W149" i="5" s="1"/>
  <c r="M150" i="5"/>
  <c r="N150" i="5" s="1"/>
  <c r="R150" i="5" s="1"/>
  <c r="V150" i="5" s="1"/>
  <c r="W150" i="5" s="1"/>
  <c r="N74" i="5"/>
  <c r="R74" i="5" s="1"/>
  <c r="V74" i="5" s="1"/>
  <c r="W74" i="5" s="1"/>
  <c r="N76" i="5"/>
  <c r="R76" i="5" s="1"/>
  <c r="V76" i="5" s="1"/>
  <c r="W76" i="5" s="1"/>
  <c r="N78" i="5"/>
  <c r="R78" i="5" s="1"/>
  <c r="V78" i="5" s="1"/>
  <c r="W78" i="5" s="1"/>
  <c r="N80" i="5"/>
  <c r="R80" i="5" s="1"/>
  <c r="V80" i="5" s="1"/>
  <c r="W80" i="5" s="1"/>
  <c r="N82" i="5"/>
  <c r="R82" i="5" s="1"/>
  <c r="V82" i="5" s="1"/>
  <c r="W82" i="5" s="1"/>
  <c r="N86" i="5"/>
  <c r="R86" i="5" s="1"/>
  <c r="V86" i="5" s="1"/>
  <c r="W86" i="5" s="1"/>
  <c r="N88" i="5"/>
  <c r="R88" i="5" s="1"/>
  <c r="V88" i="5" s="1"/>
  <c r="W88" i="5" s="1"/>
  <c r="N90" i="5"/>
  <c r="R90" i="5" s="1"/>
  <c r="V90" i="5" s="1"/>
  <c r="W90" i="5" s="1"/>
  <c r="N96" i="5"/>
  <c r="R96" i="5" s="1"/>
  <c r="V96" i="5" s="1"/>
  <c r="W96" i="5" s="1"/>
  <c r="N98" i="5"/>
  <c r="R98" i="5" s="1"/>
  <c r="V98" i="5" s="1"/>
  <c r="W98" i="5" s="1"/>
  <c r="R144" i="5"/>
  <c r="V144" i="5" s="1"/>
  <c r="W144" i="5" s="1"/>
  <c r="N145" i="5"/>
  <c r="R145" i="5" s="1"/>
  <c r="V145" i="5" s="1"/>
  <c r="W145" i="5" s="1"/>
  <c r="R168" i="5"/>
  <c r="V168" i="5" s="1"/>
  <c r="W168" i="5" s="1"/>
  <c r="N169" i="5"/>
  <c r="R169" i="5" s="1"/>
  <c r="V169" i="5" s="1"/>
  <c r="W169" i="5" s="1"/>
  <c r="R192" i="5"/>
  <c r="V192" i="5" s="1"/>
  <c r="W192" i="5" s="1"/>
  <c r="R220" i="5"/>
  <c r="V220" i="5" s="1"/>
  <c r="W220" i="5" s="1"/>
  <c r="R236" i="5"/>
  <c r="V236" i="5" s="1"/>
  <c r="W236" i="5" s="1"/>
  <c r="N242" i="5"/>
  <c r="R242" i="5" s="1"/>
  <c r="V242" i="5" s="1"/>
  <c r="W242" i="5" s="1"/>
  <c r="M258" i="5"/>
  <c r="N258" i="5" s="1"/>
  <c r="R258" i="5" s="1"/>
  <c r="V258" i="5" s="1"/>
  <c r="W258" i="5" s="1"/>
  <c r="N262" i="5"/>
  <c r="R262" i="5" s="1"/>
  <c r="V262" i="5" s="1"/>
  <c r="W262" i="5" s="1"/>
  <c r="V264" i="5"/>
  <c r="W264" i="5" s="1"/>
  <c r="V247" i="5"/>
  <c r="W247" i="5" s="1"/>
  <c r="R182" i="5"/>
  <c r="V182" i="5" s="1"/>
  <c r="W182" i="5" s="1"/>
  <c r="R240" i="5"/>
  <c r="V240" i="5" s="1"/>
  <c r="W240" i="5" s="1"/>
  <c r="M274" i="5"/>
  <c r="N274" i="5" s="1"/>
  <c r="R274" i="5" s="1"/>
  <c r="V274" i="5" s="1"/>
  <c r="W274" i="5" s="1"/>
  <c r="M277" i="5"/>
  <c r="N277" i="5" s="1"/>
  <c r="R277" i="5" s="1"/>
  <c r="V277" i="5" s="1"/>
  <c r="W277" i="5" s="1"/>
  <c r="V173" i="5"/>
  <c r="W173" i="5" s="1"/>
  <c r="M196" i="5"/>
  <c r="N196" i="5" s="1"/>
  <c r="R196" i="5" s="1"/>
  <c r="V196" i="5" s="1"/>
  <c r="W196" i="5" s="1"/>
  <c r="N176" i="5"/>
  <c r="R176" i="5" s="1"/>
  <c r="V176" i="5" s="1"/>
  <c r="W176" i="5" s="1"/>
  <c r="M185" i="5"/>
  <c r="N185" i="5" s="1"/>
  <c r="R185" i="5" s="1"/>
  <c r="V185" i="5" s="1"/>
  <c r="W185" i="5" s="1"/>
  <c r="M252" i="5"/>
  <c r="N252" i="5" s="1"/>
  <c r="M266" i="5"/>
  <c r="N266" i="5" s="1"/>
  <c r="R266" i="5" s="1"/>
  <c r="V266" i="5" s="1"/>
  <c r="W266" i="5" s="1"/>
  <c r="V269" i="5"/>
  <c r="W269" i="5" s="1"/>
  <c r="R146" i="5"/>
  <c r="V146" i="5" s="1"/>
  <c r="W146" i="5" s="1"/>
  <c r="N147" i="5"/>
  <c r="R147" i="5" s="1"/>
  <c r="V147" i="5" s="1"/>
  <c r="W147" i="5" s="1"/>
  <c r="N177" i="5"/>
  <c r="R177" i="5" s="1"/>
  <c r="V177" i="5" s="1"/>
  <c r="W177" i="5" s="1"/>
  <c r="N180" i="5"/>
  <c r="R180" i="5" s="1"/>
  <c r="V180" i="5" s="1"/>
  <c r="W180" i="5" s="1"/>
  <c r="M186" i="5"/>
  <c r="N186" i="5" s="1"/>
  <c r="R186" i="5" s="1"/>
  <c r="V186" i="5" s="1"/>
  <c r="W186" i="5" s="1"/>
  <c r="N189" i="5"/>
  <c r="R189" i="5" s="1"/>
  <c r="V189" i="5" s="1"/>
  <c r="W189" i="5" s="1"/>
  <c r="N190" i="5"/>
  <c r="R190" i="5" s="1"/>
  <c r="V190" i="5" s="1"/>
  <c r="W190" i="5" s="1"/>
  <c r="R198" i="5"/>
  <c r="V198" i="5" s="1"/>
  <c r="W198" i="5" s="1"/>
  <c r="M201" i="5"/>
  <c r="N201" i="5" s="1"/>
  <c r="R201" i="5" s="1"/>
  <c r="V201" i="5" s="1"/>
  <c r="W201" i="5" s="1"/>
  <c r="M202" i="5"/>
  <c r="N202" i="5" s="1"/>
  <c r="R202" i="5" s="1"/>
  <c r="V202" i="5" s="1"/>
  <c r="W202" i="5" s="1"/>
  <c r="R210" i="5"/>
  <c r="V210" i="5" s="1"/>
  <c r="W210" i="5" s="1"/>
  <c r="M211" i="5"/>
  <c r="N211" i="5" s="1"/>
  <c r="R211" i="5" s="1"/>
  <c r="V211" i="5" s="1"/>
  <c r="W211" i="5" s="1"/>
  <c r="M212" i="5"/>
  <c r="N212" i="5" s="1"/>
  <c r="R212" i="5" s="1"/>
  <c r="V212" i="5" s="1"/>
  <c r="W212" i="5" s="1"/>
  <c r="M214" i="5"/>
  <c r="N214" i="5" s="1"/>
  <c r="R214" i="5" s="1"/>
  <c r="V214" i="5" s="1"/>
  <c r="W214" i="5" s="1"/>
  <c r="M217" i="5"/>
  <c r="N217" i="5" s="1"/>
  <c r="R217" i="5" s="1"/>
  <c r="V217" i="5" s="1"/>
  <c r="W217" i="5" s="1"/>
  <c r="N227" i="5"/>
  <c r="R227" i="5" s="1"/>
  <c r="V227" i="5" s="1"/>
  <c r="W227" i="5" s="1"/>
  <c r="N233" i="5"/>
  <c r="R233" i="5" s="1"/>
  <c r="V233" i="5" s="1"/>
  <c r="W233" i="5" s="1"/>
  <c r="N234" i="5"/>
  <c r="R244" i="5"/>
  <c r="V244" i="5" s="1"/>
  <c r="W244" i="5" s="1"/>
  <c r="M246" i="5"/>
  <c r="N246" i="5" s="1"/>
  <c r="R246" i="5" s="1"/>
  <c r="V246" i="5" s="1"/>
  <c r="W246" i="5" s="1"/>
  <c r="R248" i="5"/>
  <c r="V248" i="5" s="1"/>
  <c r="W248" i="5" s="1"/>
  <c r="R250" i="5"/>
  <c r="V250" i="5" s="1"/>
  <c r="W250" i="5" s="1"/>
  <c r="V260" i="5"/>
  <c r="W260" i="5" s="1"/>
  <c r="N117" i="5"/>
  <c r="R117" i="5" s="1"/>
  <c r="V117" i="5" s="1"/>
  <c r="W117" i="5" s="1"/>
  <c r="N135" i="5"/>
  <c r="R135" i="5" s="1"/>
  <c r="V135" i="5" s="1"/>
  <c r="W135" i="5" s="1"/>
  <c r="V157" i="5"/>
  <c r="W157" i="5" s="1"/>
  <c r="N181" i="5"/>
  <c r="R181" i="5" s="1"/>
  <c r="V181" i="5" s="1"/>
  <c r="W181" i="5" s="1"/>
  <c r="M187" i="5"/>
  <c r="N187" i="5" s="1"/>
  <c r="R187" i="5" s="1"/>
  <c r="V187" i="5" s="1"/>
  <c r="W187" i="5" s="1"/>
  <c r="M215" i="5"/>
  <c r="N215" i="5" s="1"/>
  <c r="R215" i="5" s="1"/>
  <c r="V215" i="5" s="1"/>
  <c r="W215" i="5" s="1"/>
  <c r="R226" i="5"/>
  <c r="V226" i="5" s="1"/>
  <c r="W226" i="5" s="1"/>
  <c r="M228" i="5"/>
  <c r="N228" i="5" s="1"/>
  <c r="R228" i="5" s="1"/>
  <c r="V228" i="5" s="1"/>
  <c r="W228" i="5" s="1"/>
  <c r="M230" i="5"/>
  <c r="N230" i="5" s="1"/>
  <c r="R230" i="5" s="1"/>
  <c r="V230" i="5" s="1"/>
  <c r="W230" i="5" s="1"/>
  <c r="R249" i="5"/>
  <c r="V249" i="5" s="1"/>
  <c r="W249" i="5" s="1"/>
  <c r="R122" i="5"/>
  <c r="V122" i="5" s="1"/>
  <c r="W122" i="5" s="1"/>
  <c r="N123" i="5"/>
  <c r="R123" i="5" s="1"/>
  <c r="V123" i="5" s="1"/>
  <c r="W123" i="5" s="1"/>
  <c r="N129" i="5"/>
  <c r="R129" i="5" s="1"/>
  <c r="V129" i="5" s="1"/>
  <c r="W129" i="5" s="1"/>
  <c r="N151" i="5"/>
  <c r="R151" i="5" s="1"/>
  <c r="V151" i="5" s="1"/>
  <c r="W151" i="5" s="1"/>
  <c r="N163" i="5"/>
  <c r="R163" i="5" s="1"/>
  <c r="V163" i="5" s="1"/>
  <c r="W163" i="5" s="1"/>
  <c r="N193" i="5"/>
  <c r="R193" i="5" s="1"/>
  <c r="V193" i="5" s="1"/>
  <c r="W193" i="5" s="1"/>
  <c r="V195" i="5"/>
  <c r="W195" i="5" s="1"/>
  <c r="R204" i="5"/>
  <c r="V204" i="5" s="1"/>
  <c r="W204" i="5" s="1"/>
  <c r="M205" i="5"/>
  <c r="N205" i="5" s="1"/>
  <c r="R205" i="5" s="1"/>
  <c r="V205" i="5" s="1"/>
  <c r="W205" i="5" s="1"/>
  <c r="N221" i="5"/>
  <c r="R221" i="5" s="1"/>
  <c r="V221" i="5" s="1"/>
  <c r="W221" i="5" s="1"/>
  <c r="M231" i="5"/>
  <c r="N231" i="5" s="1"/>
  <c r="R231" i="5" s="1"/>
  <c r="V231" i="5" s="1"/>
  <c r="W231" i="5" s="1"/>
  <c r="R254" i="5"/>
  <c r="V254" i="5" s="1"/>
  <c r="W254" i="5" s="1"/>
  <c r="M270" i="5"/>
  <c r="N270" i="5" s="1"/>
  <c r="R270" i="5" s="1"/>
  <c r="V270" i="5" s="1"/>
  <c r="W270" i="5" s="1"/>
  <c r="N297" i="5"/>
  <c r="R297" i="5" s="1"/>
  <c r="V297" i="5" s="1"/>
  <c r="W297" i="5" s="1"/>
  <c r="N306" i="5"/>
  <c r="R306" i="5" s="1"/>
  <c r="V306" i="5" s="1"/>
  <c r="W306" i="5" s="1"/>
  <c r="R276" i="5"/>
  <c r="V276" i="5" s="1"/>
  <c r="W276" i="5" s="1"/>
  <c r="M284" i="5"/>
  <c r="N284" i="5" s="1"/>
  <c r="R284" i="5" s="1"/>
  <c r="V284" i="5" s="1"/>
  <c r="W284" i="5" s="1"/>
  <c r="N296" i="5"/>
  <c r="R296" i="5" s="1"/>
  <c r="V296" i="5" s="1"/>
  <c r="W296" i="5" s="1"/>
  <c r="M307" i="5"/>
  <c r="N307" i="5" s="1"/>
  <c r="R307" i="5" s="1"/>
  <c r="V307" i="5" s="1"/>
  <c r="W307" i="5" s="1"/>
  <c r="M309" i="5"/>
  <c r="N309" i="5" s="1"/>
  <c r="R309" i="5" s="1"/>
  <c r="V309" i="5" s="1"/>
  <c r="W309" i="5" s="1"/>
  <c r="M337" i="5"/>
  <c r="N337" i="5" s="1"/>
  <c r="R337" i="5" s="1"/>
  <c r="V337" i="5" s="1"/>
  <c r="W337" i="5" s="1"/>
  <c r="R305" i="5"/>
  <c r="V305" i="5" s="1"/>
  <c r="W305" i="5" s="1"/>
  <c r="R208" i="5"/>
  <c r="V208" i="5" s="1"/>
  <c r="W208" i="5" s="1"/>
  <c r="N209" i="5"/>
  <c r="R209" i="5" s="1"/>
  <c r="V209" i="5" s="1"/>
  <c r="W209" i="5" s="1"/>
  <c r="R224" i="5"/>
  <c r="V224" i="5" s="1"/>
  <c r="W224" i="5" s="1"/>
  <c r="N225" i="5"/>
  <c r="R225" i="5" s="1"/>
  <c r="V225" i="5" s="1"/>
  <c r="W225" i="5" s="1"/>
  <c r="R256" i="5"/>
  <c r="V256" i="5" s="1"/>
  <c r="W256" i="5" s="1"/>
  <c r="V259" i="5"/>
  <c r="W259" i="5" s="1"/>
  <c r="V263" i="5"/>
  <c r="W263" i="5" s="1"/>
  <c r="V288" i="5"/>
  <c r="W288" i="5" s="1"/>
  <c r="M294" i="5"/>
  <c r="N294" i="5" s="1"/>
  <c r="R294" i="5" s="1"/>
  <c r="V294" i="5" s="1"/>
  <c r="W294" i="5" s="1"/>
  <c r="R295" i="5"/>
  <c r="V295" i="5" s="1"/>
  <c r="W295" i="5" s="1"/>
  <c r="M349" i="5"/>
  <c r="N349" i="5" s="1"/>
  <c r="R349" i="5" s="1"/>
  <c r="V349" i="5" s="1"/>
  <c r="W349" i="5" s="1"/>
  <c r="R234" i="5"/>
  <c r="V234" i="5" s="1"/>
  <c r="W234" i="5" s="1"/>
  <c r="R252" i="5"/>
  <c r="V252" i="5" s="1"/>
  <c r="W252" i="5" s="1"/>
  <c r="R287" i="5"/>
  <c r="V287" i="5" s="1"/>
  <c r="W287" i="5" s="1"/>
  <c r="N291" i="5"/>
  <c r="R291" i="5" s="1"/>
  <c r="V291" i="5" s="1"/>
  <c r="W291" i="5" s="1"/>
  <c r="R333" i="5"/>
  <c r="V333" i="5" s="1"/>
  <c r="W333" i="5" s="1"/>
  <c r="M191" i="5"/>
  <c r="N191" i="5" s="1"/>
  <c r="R191" i="5" s="1"/>
  <c r="V191" i="5" s="1"/>
  <c r="W191" i="5" s="1"/>
  <c r="M197" i="5"/>
  <c r="N197" i="5" s="1"/>
  <c r="R197" i="5" s="1"/>
  <c r="V197" i="5" s="1"/>
  <c r="W197" i="5" s="1"/>
  <c r="M200" i="5"/>
  <c r="N200" i="5" s="1"/>
  <c r="R200" i="5" s="1"/>
  <c r="V200" i="5" s="1"/>
  <c r="W200" i="5" s="1"/>
  <c r="M203" i="5"/>
  <c r="N203" i="5" s="1"/>
  <c r="R203" i="5" s="1"/>
  <c r="V203" i="5" s="1"/>
  <c r="W203" i="5" s="1"/>
  <c r="M216" i="5"/>
  <c r="N216" i="5" s="1"/>
  <c r="R216" i="5" s="1"/>
  <c r="V216" i="5" s="1"/>
  <c r="W216" i="5" s="1"/>
  <c r="M219" i="5"/>
  <c r="N219" i="5" s="1"/>
  <c r="R219" i="5" s="1"/>
  <c r="V219" i="5" s="1"/>
  <c r="W219" i="5" s="1"/>
  <c r="M232" i="5"/>
  <c r="N232" i="5" s="1"/>
  <c r="R232" i="5" s="1"/>
  <c r="V232" i="5" s="1"/>
  <c r="W232" i="5" s="1"/>
  <c r="M235" i="5"/>
  <c r="N235" i="5" s="1"/>
  <c r="R235" i="5" s="1"/>
  <c r="V235" i="5" s="1"/>
  <c r="W235" i="5" s="1"/>
  <c r="R281" i="5"/>
  <c r="V281" i="5" s="1"/>
  <c r="W281" i="5" s="1"/>
  <c r="R293" i="5"/>
  <c r="V293" i="5" s="1"/>
  <c r="W293" i="5" s="1"/>
  <c r="R327" i="5"/>
  <c r="V327" i="5" s="1"/>
  <c r="W327" i="5" s="1"/>
  <c r="M328" i="5"/>
  <c r="N328" i="5" s="1"/>
  <c r="R328" i="5" s="1"/>
  <c r="V328" i="5" s="1"/>
  <c r="W328" i="5" s="1"/>
  <c r="R194" i="5"/>
  <c r="V194" i="5" s="1"/>
  <c r="W194" i="5" s="1"/>
  <c r="R206" i="5"/>
  <c r="V206" i="5" s="1"/>
  <c r="W206" i="5" s="1"/>
  <c r="N207" i="5"/>
  <c r="R207" i="5" s="1"/>
  <c r="V207" i="5" s="1"/>
  <c r="W207" i="5" s="1"/>
  <c r="M213" i="5"/>
  <c r="N213" i="5" s="1"/>
  <c r="R213" i="5" s="1"/>
  <c r="V213" i="5" s="1"/>
  <c r="W213" i="5" s="1"/>
  <c r="R222" i="5"/>
  <c r="V222" i="5" s="1"/>
  <c r="W222" i="5" s="1"/>
  <c r="N223" i="5"/>
  <c r="R223" i="5" s="1"/>
  <c r="V223" i="5" s="1"/>
  <c r="W223" i="5" s="1"/>
  <c r="M229" i="5"/>
  <c r="N229" i="5" s="1"/>
  <c r="R229" i="5" s="1"/>
  <c r="V229" i="5" s="1"/>
  <c r="W229" i="5" s="1"/>
  <c r="R238" i="5"/>
  <c r="V238" i="5" s="1"/>
  <c r="W238" i="5" s="1"/>
  <c r="V255" i="5"/>
  <c r="W255" i="5" s="1"/>
  <c r="M282" i="5"/>
  <c r="N282" i="5" s="1"/>
  <c r="R282" i="5" s="1"/>
  <c r="V282" i="5" s="1"/>
  <c r="W282" i="5" s="1"/>
  <c r="N239" i="5"/>
  <c r="R239" i="5" s="1"/>
  <c r="V239" i="5" s="1"/>
  <c r="W239" i="5" s="1"/>
  <c r="N241" i="5"/>
  <c r="R241" i="5" s="1"/>
  <c r="V241" i="5" s="1"/>
  <c r="W241" i="5" s="1"/>
  <c r="R311" i="5"/>
  <c r="V311" i="5" s="1"/>
  <c r="W311" i="5" s="1"/>
  <c r="M319" i="5"/>
  <c r="N319" i="5" s="1"/>
  <c r="R319" i="5" s="1"/>
  <c r="V319" i="5" s="1"/>
  <c r="W319" i="5" s="1"/>
  <c r="M322" i="5"/>
  <c r="N322" i="5" s="1"/>
  <c r="R322" i="5" s="1"/>
  <c r="V322" i="5" s="1"/>
  <c r="W322" i="5" s="1"/>
  <c r="R342" i="5"/>
  <c r="V342" i="5" s="1"/>
  <c r="W342" i="5" s="1"/>
  <c r="V346" i="5"/>
  <c r="W346" i="5" s="1"/>
  <c r="M353" i="5"/>
  <c r="N353" i="5" s="1"/>
  <c r="R353" i="5" s="1"/>
  <c r="V353" i="5" s="1"/>
  <c r="W353" i="5" s="1"/>
  <c r="W278" i="5"/>
  <c r="W286" i="5"/>
  <c r="N290" i="5"/>
  <c r="R290" i="5" s="1"/>
  <c r="V290" i="5" s="1"/>
  <c r="W290" i="5" s="1"/>
  <c r="R321" i="5"/>
  <c r="V321" i="5" s="1"/>
  <c r="W321" i="5" s="1"/>
  <c r="M324" i="5"/>
  <c r="N324" i="5" s="1"/>
  <c r="R324" i="5" s="1"/>
  <c r="V324" i="5" s="1"/>
  <c r="W324" i="5" s="1"/>
  <c r="M325" i="5"/>
  <c r="N325" i="5" s="1"/>
  <c r="R325" i="5" s="1"/>
  <c r="V325" i="5" s="1"/>
  <c r="W325" i="5" s="1"/>
  <c r="M358" i="5"/>
  <c r="N358" i="5" s="1"/>
  <c r="R358" i="5" s="1"/>
  <c r="V358" i="5" s="1"/>
  <c r="W358" i="5" s="1"/>
  <c r="V360" i="5"/>
  <c r="W360" i="5" s="1"/>
  <c r="M371" i="5"/>
  <c r="N371" i="5" s="1"/>
  <c r="R371" i="5" s="1"/>
  <c r="V371" i="5" s="1"/>
  <c r="W371" i="5" s="1"/>
  <c r="N382" i="5"/>
  <c r="R382" i="5" s="1"/>
  <c r="V382" i="5" s="1"/>
  <c r="W382" i="5" s="1"/>
  <c r="V443" i="5"/>
  <c r="W443" i="5" s="1"/>
  <c r="R355" i="5"/>
  <c r="V355" i="5" s="1"/>
  <c r="W355" i="5" s="1"/>
  <c r="M356" i="5"/>
  <c r="N356" i="5" s="1"/>
  <c r="R356" i="5" s="1"/>
  <c r="V356" i="5" s="1"/>
  <c r="W356" i="5" s="1"/>
  <c r="R370" i="5"/>
  <c r="V370" i="5" s="1"/>
  <c r="W370" i="5" s="1"/>
  <c r="M378" i="5"/>
  <c r="N378" i="5" s="1"/>
  <c r="R378" i="5" s="1"/>
  <c r="V378" i="5" s="1"/>
  <c r="W378" i="5" s="1"/>
  <c r="R373" i="5"/>
  <c r="V373" i="5" s="1"/>
  <c r="W373" i="5" s="1"/>
  <c r="R377" i="5"/>
  <c r="V377" i="5" s="1"/>
  <c r="W377" i="5" s="1"/>
  <c r="M364" i="5"/>
  <c r="N364" i="5" s="1"/>
  <c r="R364" i="5" s="1"/>
  <c r="V364" i="5" s="1"/>
  <c r="W364" i="5" s="1"/>
  <c r="M393" i="5"/>
  <c r="N393" i="5" s="1"/>
  <c r="R393" i="5" s="1"/>
  <c r="V393" i="5" s="1"/>
  <c r="W393" i="5" s="1"/>
  <c r="V289" i="5"/>
  <c r="W289" i="5" s="1"/>
  <c r="R299" i="5"/>
  <c r="V299" i="5" s="1"/>
  <c r="W299" i="5" s="1"/>
  <c r="N300" i="5"/>
  <c r="R300" i="5" s="1"/>
  <c r="V300" i="5" s="1"/>
  <c r="W300" i="5" s="1"/>
  <c r="N312" i="5"/>
  <c r="R312" i="5" s="1"/>
  <c r="V312" i="5" s="1"/>
  <c r="W312" i="5" s="1"/>
  <c r="M315" i="5"/>
  <c r="N315" i="5" s="1"/>
  <c r="R315" i="5" s="1"/>
  <c r="V315" i="5" s="1"/>
  <c r="W315" i="5" s="1"/>
  <c r="V323" i="5"/>
  <c r="W323" i="5" s="1"/>
  <c r="M331" i="5"/>
  <c r="N331" i="5" s="1"/>
  <c r="R331" i="5" s="1"/>
  <c r="V331" i="5" s="1"/>
  <c r="W331" i="5" s="1"/>
  <c r="M340" i="5"/>
  <c r="N340" i="5" s="1"/>
  <c r="R340" i="5" s="1"/>
  <c r="V340" i="5" s="1"/>
  <c r="W340" i="5" s="1"/>
  <c r="R361" i="5"/>
  <c r="V361" i="5" s="1"/>
  <c r="W361" i="5" s="1"/>
  <c r="M362" i="5"/>
  <c r="N362" i="5" s="1"/>
  <c r="R362" i="5" s="1"/>
  <c r="V362" i="5" s="1"/>
  <c r="W362" i="5" s="1"/>
  <c r="M365" i="5"/>
  <c r="N365" i="5" s="1"/>
  <c r="R365" i="5" s="1"/>
  <c r="V365" i="5" s="1"/>
  <c r="W365" i="5" s="1"/>
  <c r="M392" i="5"/>
  <c r="N392" i="5" s="1"/>
  <c r="R392" i="5" s="1"/>
  <c r="V392" i="5" s="1"/>
  <c r="W392" i="5" s="1"/>
  <c r="M313" i="5"/>
  <c r="N313" i="5" s="1"/>
  <c r="R313" i="5" s="1"/>
  <c r="V313" i="5" s="1"/>
  <c r="W313" i="5" s="1"/>
  <c r="M316" i="5"/>
  <c r="N316" i="5" s="1"/>
  <c r="R316" i="5" s="1"/>
  <c r="V316" i="5" s="1"/>
  <c r="W316" i="5" s="1"/>
  <c r="R339" i="5"/>
  <c r="V339" i="5" s="1"/>
  <c r="W339" i="5" s="1"/>
  <c r="N352" i="5"/>
  <c r="R352" i="5" s="1"/>
  <c r="V352" i="5" s="1"/>
  <c r="W352" i="5" s="1"/>
  <c r="N368" i="5"/>
  <c r="R368" i="5" s="1"/>
  <c r="V368" i="5" s="1"/>
  <c r="W368" i="5" s="1"/>
  <c r="M398" i="5"/>
  <c r="N398" i="5" s="1"/>
  <c r="R398" i="5" s="1"/>
  <c r="V398" i="5" s="1"/>
  <c r="W398" i="5" s="1"/>
  <c r="R431" i="5"/>
  <c r="V431" i="5" s="1"/>
  <c r="W431" i="5" s="1"/>
  <c r="M432" i="5"/>
  <c r="N432" i="5" s="1"/>
  <c r="R432" i="5" s="1"/>
  <c r="V432" i="5" s="1"/>
  <c r="W432" i="5" s="1"/>
  <c r="M448" i="5"/>
  <c r="N448" i="5" s="1"/>
  <c r="R448" i="5" s="1"/>
  <c r="V448" i="5" s="1"/>
  <c r="W448" i="5" s="1"/>
  <c r="N374" i="5"/>
  <c r="R374" i="5" s="1"/>
  <c r="V374" i="5" s="1"/>
  <c r="W374" i="5" s="1"/>
  <c r="V385" i="5"/>
  <c r="W385" i="5" s="1"/>
  <c r="R391" i="5"/>
  <c r="V391" i="5" s="1"/>
  <c r="W391" i="5" s="1"/>
  <c r="R395" i="5"/>
  <c r="V395" i="5" s="1"/>
  <c r="W395" i="5" s="1"/>
  <c r="M413" i="5"/>
  <c r="N413" i="5" s="1"/>
  <c r="R413" i="5" s="1"/>
  <c r="V413" i="5" s="1"/>
  <c r="W413" i="5" s="1"/>
  <c r="M467" i="5"/>
  <c r="N467" i="5" s="1"/>
  <c r="R467" i="5" s="1"/>
  <c r="V467" i="5" s="1"/>
  <c r="W467" i="5" s="1"/>
  <c r="R476" i="5"/>
  <c r="V476" i="5" s="1"/>
  <c r="W476" i="5" s="1"/>
  <c r="R383" i="5"/>
  <c r="V383" i="5" s="1"/>
  <c r="W383" i="5" s="1"/>
  <c r="V470" i="5"/>
  <c r="W470" i="5" s="1"/>
  <c r="R303" i="5"/>
  <c r="V303" i="5" s="1"/>
  <c r="W303" i="5" s="1"/>
  <c r="R343" i="5"/>
  <c r="V343" i="5" s="1"/>
  <c r="W343" i="5" s="1"/>
  <c r="R379" i="5"/>
  <c r="V379" i="5" s="1"/>
  <c r="W379" i="5" s="1"/>
  <c r="N384" i="5"/>
  <c r="R384" i="5" s="1"/>
  <c r="V384" i="5" s="1"/>
  <c r="W384" i="5" s="1"/>
  <c r="V428" i="5"/>
  <c r="W428" i="5" s="1"/>
  <c r="R436" i="5"/>
  <c r="V436" i="5" s="1"/>
  <c r="W436" i="5" s="1"/>
  <c r="R438" i="5"/>
  <c r="V438" i="5" s="1"/>
  <c r="W438" i="5" s="1"/>
  <c r="R466" i="5"/>
  <c r="V466" i="5" s="1"/>
  <c r="W466" i="5" s="1"/>
  <c r="N298" i="5"/>
  <c r="R298" i="5" s="1"/>
  <c r="V298" i="5" s="1"/>
  <c r="W298" i="5" s="1"/>
  <c r="M301" i="5"/>
  <c r="N301" i="5" s="1"/>
  <c r="R301" i="5" s="1"/>
  <c r="V301" i="5" s="1"/>
  <c r="W301" i="5" s="1"/>
  <c r="M304" i="5"/>
  <c r="N304" i="5" s="1"/>
  <c r="R304" i="5" s="1"/>
  <c r="V304" i="5" s="1"/>
  <c r="W304" i="5" s="1"/>
  <c r="M310" i="5"/>
  <c r="N310" i="5" s="1"/>
  <c r="R310" i="5" s="1"/>
  <c r="V310" i="5" s="1"/>
  <c r="W310" i="5" s="1"/>
  <c r="N326" i="5"/>
  <c r="R326" i="5" s="1"/>
  <c r="V326" i="5" s="1"/>
  <c r="W326" i="5" s="1"/>
  <c r="M329" i="5"/>
  <c r="N329" i="5" s="1"/>
  <c r="R329" i="5" s="1"/>
  <c r="V329" i="5" s="1"/>
  <c r="W329" i="5" s="1"/>
  <c r="M332" i="5"/>
  <c r="N332" i="5" s="1"/>
  <c r="R332" i="5" s="1"/>
  <c r="V332" i="5" s="1"/>
  <c r="W332" i="5" s="1"/>
  <c r="M335" i="5"/>
  <c r="N335" i="5" s="1"/>
  <c r="R335" i="5" s="1"/>
  <c r="V335" i="5" s="1"/>
  <c r="W335" i="5" s="1"/>
  <c r="M338" i="5"/>
  <c r="N338" i="5" s="1"/>
  <c r="R338" i="5" s="1"/>
  <c r="V338" i="5" s="1"/>
  <c r="W338" i="5" s="1"/>
  <c r="M344" i="5"/>
  <c r="N344" i="5" s="1"/>
  <c r="R344" i="5" s="1"/>
  <c r="V344" i="5" s="1"/>
  <c r="W344" i="5" s="1"/>
  <c r="M350" i="5"/>
  <c r="N350" i="5" s="1"/>
  <c r="R350" i="5" s="1"/>
  <c r="V350" i="5" s="1"/>
  <c r="W350" i="5" s="1"/>
  <c r="R359" i="5"/>
  <c r="V359" i="5" s="1"/>
  <c r="W359" i="5" s="1"/>
  <c r="M369" i="5"/>
  <c r="N369" i="5" s="1"/>
  <c r="N372" i="5"/>
  <c r="R372" i="5" s="1"/>
  <c r="V372" i="5" s="1"/>
  <c r="W372" i="5" s="1"/>
  <c r="N375" i="5"/>
  <c r="R375" i="5" s="1"/>
  <c r="V375" i="5" s="1"/>
  <c r="W375" i="5" s="1"/>
  <c r="R402" i="5"/>
  <c r="V402" i="5" s="1"/>
  <c r="W402" i="5" s="1"/>
  <c r="M403" i="5"/>
  <c r="N403" i="5" s="1"/>
  <c r="R403" i="5" s="1"/>
  <c r="V403" i="5" s="1"/>
  <c r="W403" i="5" s="1"/>
  <c r="R422" i="5"/>
  <c r="V422" i="5" s="1"/>
  <c r="W422" i="5" s="1"/>
  <c r="R426" i="5"/>
  <c r="V426" i="5" s="1"/>
  <c r="W426" i="5" s="1"/>
  <c r="M427" i="5"/>
  <c r="N427" i="5" s="1"/>
  <c r="R427" i="5" s="1"/>
  <c r="V427" i="5" s="1"/>
  <c r="W427" i="5" s="1"/>
  <c r="N454" i="5"/>
  <c r="R454" i="5" s="1"/>
  <c r="V454" i="5" s="1"/>
  <c r="W454" i="5" s="1"/>
  <c r="R465" i="5"/>
  <c r="V465" i="5" s="1"/>
  <c r="W465" i="5" s="1"/>
  <c r="V496" i="5"/>
  <c r="W496" i="5" s="1"/>
  <c r="V308" i="5"/>
  <c r="W308" i="5" s="1"/>
  <c r="R341" i="5"/>
  <c r="V341" i="5" s="1"/>
  <c r="W341" i="5" s="1"/>
  <c r="N354" i="5"/>
  <c r="R354" i="5" s="1"/>
  <c r="V354" i="5" s="1"/>
  <c r="W354" i="5" s="1"/>
  <c r="M357" i="5"/>
  <c r="N357" i="5" s="1"/>
  <c r="R357" i="5" s="1"/>
  <c r="V357" i="5" s="1"/>
  <c r="W357" i="5" s="1"/>
  <c r="M363" i="5"/>
  <c r="N363" i="5" s="1"/>
  <c r="R363" i="5" s="1"/>
  <c r="V363" i="5" s="1"/>
  <c r="W363" i="5" s="1"/>
  <c r="M366" i="5"/>
  <c r="N366" i="5" s="1"/>
  <c r="R366" i="5" s="1"/>
  <c r="V366" i="5" s="1"/>
  <c r="W366" i="5" s="1"/>
  <c r="N386" i="5"/>
  <c r="R386" i="5" s="1"/>
  <c r="V386" i="5" s="1"/>
  <c r="W386" i="5" s="1"/>
  <c r="M407" i="5"/>
  <c r="N407" i="5" s="1"/>
  <c r="R407" i="5" s="1"/>
  <c r="V407" i="5" s="1"/>
  <c r="W407" i="5" s="1"/>
  <c r="M429" i="5"/>
  <c r="N429" i="5" s="1"/>
  <c r="R429" i="5" s="1"/>
  <c r="V429" i="5" s="1"/>
  <c r="W429" i="5" s="1"/>
  <c r="M455" i="5"/>
  <c r="N455" i="5" s="1"/>
  <c r="R455" i="5" s="1"/>
  <c r="V455" i="5" s="1"/>
  <c r="W455" i="5" s="1"/>
  <c r="M457" i="5"/>
  <c r="N457" i="5" s="1"/>
  <c r="R457" i="5" s="1"/>
  <c r="V457" i="5" s="1"/>
  <c r="W457" i="5" s="1"/>
  <c r="M292" i="5"/>
  <c r="N292" i="5" s="1"/>
  <c r="R292" i="5" s="1"/>
  <c r="V292" i="5" s="1"/>
  <c r="W292" i="5" s="1"/>
  <c r="N302" i="5"/>
  <c r="R302" i="5" s="1"/>
  <c r="V302" i="5" s="1"/>
  <c r="W302" i="5" s="1"/>
  <c r="M314" i="5"/>
  <c r="N314" i="5" s="1"/>
  <c r="R314" i="5" s="1"/>
  <c r="V314" i="5" s="1"/>
  <c r="W314" i="5" s="1"/>
  <c r="M320" i="5"/>
  <c r="N320" i="5" s="1"/>
  <c r="R320" i="5" s="1"/>
  <c r="V320" i="5" s="1"/>
  <c r="W320" i="5" s="1"/>
  <c r="N330" i="5"/>
  <c r="R330" i="5" s="1"/>
  <c r="V330" i="5" s="1"/>
  <c r="W330" i="5" s="1"/>
  <c r="N336" i="5"/>
  <c r="R336" i="5" s="1"/>
  <c r="V336" i="5" s="1"/>
  <c r="W336" i="5" s="1"/>
  <c r="R347" i="5"/>
  <c r="V347" i="5" s="1"/>
  <c r="W347" i="5" s="1"/>
  <c r="N348" i="5"/>
  <c r="R348" i="5" s="1"/>
  <c r="V348" i="5" s="1"/>
  <c r="W348" i="5" s="1"/>
  <c r="R369" i="5"/>
  <c r="V369" i="5" s="1"/>
  <c r="W369" i="5" s="1"/>
  <c r="M376" i="5"/>
  <c r="N376" i="5" s="1"/>
  <c r="R376" i="5" s="1"/>
  <c r="V376" i="5" s="1"/>
  <c r="W376" i="5" s="1"/>
  <c r="N388" i="5"/>
  <c r="R388" i="5" s="1"/>
  <c r="V388" i="5" s="1"/>
  <c r="W388" i="5" s="1"/>
  <c r="M389" i="5"/>
  <c r="N389" i="5" s="1"/>
  <c r="R389" i="5" s="1"/>
  <c r="V389" i="5" s="1"/>
  <c r="W389" i="5" s="1"/>
  <c r="M396" i="5"/>
  <c r="N396" i="5" s="1"/>
  <c r="R396" i="5" s="1"/>
  <c r="V396" i="5" s="1"/>
  <c r="W396" i="5" s="1"/>
  <c r="M477" i="5"/>
  <c r="N477" i="5" s="1"/>
  <c r="R477" i="5" s="1"/>
  <c r="V477" i="5" s="1"/>
  <c r="W477" i="5" s="1"/>
  <c r="M390" i="5"/>
  <c r="N390" i="5" s="1"/>
  <c r="R390" i="5" s="1"/>
  <c r="V390" i="5" s="1"/>
  <c r="W390" i="5" s="1"/>
  <c r="W401" i="5"/>
  <c r="V437" i="5"/>
  <c r="W437" i="5" s="1"/>
  <c r="R452" i="5"/>
  <c r="V452" i="5" s="1"/>
  <c r="W452" i="5" s="1"/>
  <c r="V502" i="5"/>
  <c r="W502" i="5" s="1"/>
  <c r="V508" i="5"/>
  <c r="W508" i="5" s="1"/>
  <c r="W409" i="5"/>
  <c r="R445" i="5"/>
  <c r="V445" i="5" s="1"/>
  <c r="W445" i="5" s="1"/>
  <c r="R456" i="5"/>
  <c r="V456" i="5" s="1"/>
  <c r="W456" i="5" s="1"/>
  <c r="R474" i="5"/>
  <c r="V474" i="5" s="1"/>
  <c r="W474" i="5" s="1"/>
  <c r="M394" i="5"/>
  <c r="N394" i="5" s="1"/>
  <c r="R394" i="5" s="1"/>
  <c r="V394" i="5" s="1"/>
  <c r="W394" i="5" s="1"/>
  <c r="R397" i="5"/>
  <c r="V397" i="5" s="1"/>
  <c r="W397" i="5" s="1"/>
  <c r="W405" i="5"/>
  <c r="N434" i="5"/>
  <c r="R434" i="5" s="1"/>
  <c r="V434" i="5" s="1"/>
  <c r="W434" i="5" s="1"/>
  <c r="N441" i="5"/>
  <c r="R441" i="5" s="1"/>
  <c r="V441" i="5" s="1"/>
  <c r="W441" i="5" s="1"/>
  <c r="V479" i="5"/>
  <c r="W479" i="5" s="1"/>
  <c r="V494" i="5"/>
  <c r="W494" i="5" s="1"/>
  <c r="V500" i="5"/>
  <c r="W500" i="5" s="1"/>
  <c r="V506" i="5"/>
  <c r="W506" i="5" s="1"/>
  <c r="W415" i="5"/>
  <c r="W425" i="5"/>
  <c r="R460" i="5"/>
  <c r="V460" i="5" s="1"/>
  <c r="W460" i="5" s="1"/>
  <c r="V468" i="5"/>
  <c r="W468" i="5" s="1"/>
  <c r="W475" i="5"/>
  <c r="V478" i="5"/>
  <c r="W478" i="5" s="1"/>
  <c r="M529" i="5"/>
  <c r="N529" i="5" s="1"/>
  <c r="R529" i="5" s="1"/>
  <c r="V529" i="5" s="1"/>
  <c r="W529" i="5" s="1"/>
  <c r="V535" i="5"/>
  <c r="W535" i="5" s="1"/>
  <c r="M567" i="5"/>
  <c r="N567" i="5" s="1"/>
  <c r="R567" i="5" s="1"/>
  <c r="V567" i="5" s="1"/>
  <c r="W567" i="5" s="1"/>
  <c r="M576" i="5"/>
  <c r="N576" i="5" s="1"/>
  <c r="R576" i="5" s="1"/>
  <c r="V576" i="5" s="1"/>
  <c r="W576" i="5" s="1"/>
  <c r="M543" i="5"/>
  <c r="N543" i="5" s="1"/>
  <c r="R543" i="5" s="1"/>
  <c r="V543" i="5" s="1"/>
  <c r="W543" i="5" s="1"/>
  <c r="V484" i="5"/>
  <c r="W484" i="5" s="1"/>
  <c r="V486" i="5"/>
  <c r="W486" i="5" s="1"/>
  <c r="V490" i="5"/>
  <c r="W490" i="5" s="1"/>
  <c r="V492" i="5"/>
  <c r="W492" i="5" s="1"/>
  <c r="V532" i="5"/>
  <c r="W532" i="5" s="1"/>
  <c r="M547" i="5"/>
  <c r="N547" i="5" s="1"/>
  <c r="R547" i="5" s="1"/>
  <c r="V547" i="5" s="1"/>
  <c r="W547" i="5" s="1"/>
  <c r="M573" i="5"/>
  <c r="N573" i="5" s="1"/>
  <c r="R573" i="5" s="1"/>
  <c r="V573" i="5" s="1"/>
  <c r="W573" i="5" s="1"/>
  <c r="R575" i="5"/>
  <c r="V575" i="5" s="1"/>
  <c r="W575" i="5" s="1"/>
  <c r="N579" i="5"/>
  <c r="R579" i="5" s="1"/>
  <c r="V579" i="5" s="1"/>
  <c r="W579" i="5" s="1"/>
  <c r="M593" i="5"/>
  <c r="N593" i="5" s="1"/>
  <c r="R593" i="5" s="1"/>
  <c r="V593" i="5" s="1"/>
  <c r="W593" i="5" s="1"/>
  <c r="R536" i="5"/>
  <c r="V536" i="5" s="1"/>
  <c r="W536" i="5" s="1"/>
  <c r="V538" i="5"/>
  <c r="W538" i="5" s="1"/>
  <c r="M541" i="5"/>
  <c r="N541" i="5" s="1"/>
  <c r="R541" i="5" s="1"/>
  <c r="V541" i="5" s="1"/>
  <c r="W541" i="5" s="1"/>
  <c r="V544" i="5"/>
  <c r="W544" i="5" s="1"/>
  <c r="R548" i="5"/>
  <c r="V548" i="5" s="1"/>
  <c r="W548" i="5" s="1"/>
  <c r="V550" i="5"/>
  <c r="W550" i="5" s="1"/>
  <c r="M554" i="5"/>
  <c r="N554" i="5" s="1"/>
  <c r="R554" i="5" s="1"/>
  <c r="V554" i="5" s="1"/>
  <c r="W554" i="5" s="1"/>
  <c r="R461" i="5"/>
  <c r="V461" i="5" s="1"/>
  <c r="W461" i="5" s="1"/>
  <c r="V464" i="5"/>
  <c r="W464" i="5" s="1"/>
  <c r="V472" i="5"/>
  <c r="W472" i="5" s="1"/>
  <c r="V514" i="5"/>
  <c r="W514" i="5" s="1"/>
  <c r="V516" i="5"/>
  <c r="W516" i="5" s="1"/>
  <c r="V518" i="5"/>
  <c r="W518" i="5" s="1"/>
  <c r="V520" i="5"/>
  <c r="W520" i="5" s="1"/>
  <c r="V522" i="5"/>
  <c r="W522" i="5" s="1"/>
  <c r="V524" i="5"/>
  <c r="W524" i="5" s="1"/>
  <c r="V531" i="5"/>
  <c r="W531" i="5" s="1"/>
  <c r="M533" i="5"/>
  <c r="N533" i="5" s="1"/>
  <c r="R533" i="5" s="1"/>
  <c r="V533" i="5" s="1"/>
  <c r="W533" i="5" s="1"/>
  <c r="R542" i="5"/>
  <c r="V542" i="5" s="1"/>
  <c r="W542" i="5" s="1"/>
  <c r="V526" i="5"/>
  <c r="W526" i="5" s="1"/>
  <c r="C19" i="1" s="1"/>
  <c r="V528" i="5"/>
  <c r="W528" i="5" s="1"/>
  <c r="R534" i="5"/>
  <c r="V534" i="5" s="1"/>
  <c r="W534" i="5" s="1"/>
  <c r="V537" i="5"/>
  <c r="W537" i="5" s="1"/>
  <c r="M545" i="5"/>
  <c r="N545" i="5" s="1"/>
  <c r="R545" i="5" s="1"/>
  <c r="V545" i="5" s="1"/>
  <c r="W545" i="5" s="1"/>
  <c r="N444" i="5"/>
  <c r="R444" i="5" s="1"/>
  <c r="V444" i="5" s="1"/>
  <c r="W444" i="5" s="1"/>
  <c r="M458" i="5"/>
  <c r="N458" i="5" s="1"/>
  <c r="R458" i="5" s="1"/>
  <c r="V458" i="5" s="1"/>
  <c r="W458" i="5" s="1"/>
  <c r="N469" i="5"/>
  <c r="R469" i="5" s="1"/>
  <c r="V469" i="5" s="1"/>
  <c r="W469" i="5" s="1"/>
  <c r="N495" i="5"/>
  <c r="R495" i="5" s="1"/>
  <c r="V495" i="5" s="1"/>
  <c r="W495" i="5" s="1"/>
  <c r="N497" i="5"/>
  <c r="R497" i="5" s="1"/>
  <c r="V497" i="5" s="1"/>
  <c r="W497" i="5" s="1"/>
  <c r="N503" i="5"/>
  <c r="R503" i="5" s="1"/>
  <c r="V503" i="5" s="1"/>
  <c r="W503" i="5" s="1"/>
  <c r="N505" i="5"/>
  <c r="R505" i="5" s="1"/>
  <c r="V505" i="5" s="1"/>
  <c r="W505" i="5" s="1"/>
  <c r="N511" i="5"/>
  <c r="R511" i="5" s="1"/>
  <c r="V511" i="5" s="1"/>
  <c r="W511" i="5" s="1"/>
  <c r="N513" i="5"/>
  <c r="R513" i="5" s="1"/>
  <c r="V513" i="5" s="1"/>
  <c r="W513" i="5" s="1"/>
  <c r="W527" i="5"/>
  <c r="R553" i="5"/>
  <c r="V553" i="5" s="1"/>
  <c r="W553" i="5" s="1"/>
  <c r="N557" i="5"/>
  <c r="R557" i="5" s="1"/>
  <c r="V557" i="5" s="1"/>
  <c r="W557" i="5" s="1"/>
  <c r="M583" i="5"/>
  <c r="N583" i="5" s="1"/>
  <c r="R583" i="5" s="1"/>
  <c r="V583" i="5" s="1"/>
  <c r="W583" i="5" s="1"/>
  <c r="P11" i="6"/>
  <c r="N13" i="6"/>
  <c r="M13" i="6"/>
  <c r="N564" i="5"/>
  <c r="R564" i="5" s="1"/>
  <c r="V564" i="5" s="1"/>
  <c r="W564" i="5" s="1"/>
  <c r="R591" i="5"/>
  <c r="V591" i="5" s="1"/>
  <c r="W591" i="5" s="1"/>
  <c r="M596" i="5"/>
  <c r="N596" i="5" s="1"/>
  <c r="R596" i="5" s="1"/>
  <c r="V596" i="5" s="1"/>
  <c r="W596" i="5" s="1"/>
  <c r="E69" i="6"/>
  <c r="L13" i="6"/>
  <c r="N15" i="6"/>
  <c r="P15" i="6" s="1"/>
  <c r="P17" i="6"/>
  <c r="M20" i="6"/>
  <c r="N20" i="6"/>
  <c r="N22" i="6"/>
  <c r="M22" i="6"/>
  <c r="P22" i="6" s="1"/>
  <c r="L23" i="6"/>
  <c r="N24" i="6"/>
  <c r="P24" i="6" s="1"/>
  <c r="N27" i="6"/>
  <c r="P27" i="6" s="1"/>
  <c r="M27" i="6"/>
  <c r="N29" i="6"/>
  <c r="M29" i="6"/>
  <c r="P29" i="6" s="1"/>
  <c r="M586" i="5"/>
  <c r="N586" i="5" s="1"/>
  <c r="R586" i="5" s="1"/>
  <c r="V586" i="5" s="1"/>
  <c r="W586" i="5" s="1"/>
  <c r="R601" i="5"/>
  <c r="V601" i="5" s="1"/>
  <c r="W601" i="5" s="1"/>
  <c r="P20" i="6"/>
  <c r="R551" i="5"/>
  <c r="V551" i="5" s="1"/>
  <c r="W551" i="5" s="1"/>
  <c r="M555" i="5"/>
  <c r="N555" i="5" s="1"/>
  <c r="R555" i="5" s="1"/>
  <c r="V555" i="5" s="1"/>
  <c r="W555" i="5" s="1"/>
  <c r="M558" i="5"/>
  <c r="N558" i="5" s="1"/>
  <c r="R558" i="5" s="1"/>
  <c r="V558" i="5" s="1"/>
  <c r="W558" i="5" s="1"/>
  <c r="M577" i="5"/>
  <c r="N577" i="5" s="1"/>
  <c r="R577" i="5" s="1"/>
  <c r="V577" i="5" s="1"/>
  <c r="W577" i="5" s="1"/>
  <c r="M580" i="5"/>
  <c r="N580" i="5" s="1"/>
  <c r="R580" i="5" s="1"/>
  <c r="V580" i="5" s="1"/>
  <c r="W580" i="5" s="1"/>
  <c r="M584" i="5"/>
  <c r="N584" i="5" s="1"/>
  <c r="R584" i="5" s="1"/>
  <c r="V584" i="5" s="1"/>
  <c r="W584" i="5" s="1"/>
  <c r="M585" i="5"/>
  <c r="N585" i="5" s="1"/>
  <c r="R585" i="5" s="1"/>
  <c r="V585" i="5" s="1"/>
  <c r="W585" i="5" s="1"/>
  <c r="V588" i="5"/>
  <c r="P3" i="6"/>
  <c r="N5" i="6"/>
  <c r="P5" i="6" s="1"/>
  <c r="M5" i="6"/>
  <c r="M552" i="5"/>
  <c r="N552" i="5" s="1"/>
  <c r="R552" i="5" s="1"/>
  <c r="V552" i="5" s="1"/>
  <c r="W552" i="5" s="1"/>
  <c r="R561" i="5"/>
  <c r="V561" i="5" s="1"/>
  <c r="W561" i="5" s="1"/>
  <c r="M565" i="5"/>
  <c r="N565" i="5" s="1"/>
  <c r="R565" i="5" s="1"/>
  <c r="V565" i="5" s="1"/>
  <c r="W565" i="5" s="1"/>
  <c r="M568" i="5"/>
  <c r="N568" i="5" s="1"/>
  <c r="R568" i="5" s="1"/>
  <c r="V568" i="5" s="1"/>
  <c r="W568" i="5" s="1"/>
  <c r="M571" i="5"/>
  <c r="N571" i="5" s="1"/>
  <c r="R571" i="5" s="1"/>
  <c r="V571" i="5" s="1"/>
  <c r="W571" i="5" s="1"/>
  <c r="M574" i="5"/>
  <c r="N574" i="5" s="1"/>
  <c r="R574" i="5" s="1"/>
  <c r="V574" i="5" s="1"/>
  <c r="W574" i="5" s="1"/>
  <c r="W588" i="5"/>
  <c r="M12" i="6"/>
  <c r="P12" i="6" s="1"/>
  <c r="N12" i="6"/>
  <c r="N14" i="6"/>
  <c r="M14" i="6"/>
  <c r="P14" i="6" s="1"/>
  <c r="N556" i="5"/>
  <c r="R556" i="5" s="1"/>
  <c r="V556" i="5" s="1"/>
  <c r="W556" i="5" s="1"/>
  <c r="M562" i="5"/>
  <c r="N562" i="5" s="1"/>
  <c r="R562" i="5" s="1"/>
  <c r="V562" i="5" s="1"/>
  <c r="W562" i="5" s="1"/>
  <c r="N581" i="5"/>
  <c r="R581" i="5" s="1"/>
  <c r="V581" i="5" s="1"/>
  <c r="W581" i="5" s="1"/>
  <c r="V592" i="5"/>
  <c r="W592" i="5" s="1"/>
  <c r="N3" i="6"/>
  <c r="L8" i="6"/>
  <c r="P19" i="6"/>
  <c r="N21" i="6"/>
  <c r="M21" i="6"/>
  <c r="M28" i="6"/>
  <c r="P28" i="6" s="1"/>
  <c r="N28" i="6"/>
  <c r="L31" i="6"/>
  <c r="P31" i="6" s="1"/>
  <c r="M578" i="5"/>
  <c r="N578" i="5" s="1"/>
  <c r="R578" i="5" s="1"/>
  <c r="V578" i="5" s="1"/>
  <c r="W578" i="5" s="1"/>
  <c r="N582" i="5"/>
  <c r="R582" i="5" s="1"/>
  <c r="V582" i="5" s="1"/>
  <c r="W582" i="5" s="1"/>
  <c r="M8" i="6"/>
  <c r="N23" i="6"/>
  <c r="P25" i="6"/>
  <c r="R559" i="5"/>
  <c r="V559" i="5" s="1"/>
  <c r="W559" i="5" s="1"/>
  <c r="N560" i="5"/>
  <c r="R560" i="5" s="1"/>
  <c r="V560" i="5" s="1"/>
  <c r="W560" i="5" s="1"/>
  <c r="M566" i="5"/>
  <c r="N566" i="5" s="1"/>
  <c r="R566" i="5" s="1"/>
  <c r="V566" i="5" s="1"/>
  <c r="W566" i="5" s="1"/>
  <c r="M572" i="5"/>
  <c r="N572" i="5" s="1"/>
  <c r="R572" i="5" s="1"/>
  <c r="V572" i="5" s="1"/>
  <c r="W572" i="5" s="1"/>
  <c r="M590" i="5"/>
  <c r="N590" i="5" s="1"/>
  <c r="R590" i="5" s="1"/>
  <c r="V590" i="5" s="1"/>
  <c r="W590" i="5" s="1"/>
  <c r="N598" i="5"/>
  <c r="R598" i="5" s="1"/>
  <c r="V598" i="5" s="1"/>
  <c r="W598" i="5" s="1"/>
  <c r="N599" i="5"/>
  <c r="R599" i="5" s="1"/>
  <c r="V599" i="5" s="1"/>
  <c r="W599" i="5" s="1"/>
  <c r="M4" i="6"/>
  <c r="P4" i="6" s="1"/>
  <c r="N4" i="6"/>
  <c r="E67" i="6" s="1"/>
  <c r="N6" i="6"/>
  <c r="M6" i="6"/>
  <c r="P6" i="6" s="1"/>
  <c r="N19" i="6"/>
  <c r="P35" i="6"/>
  <c r="N597" i="5"/>
  <c r="R597" i="5" s="1"/>
  <c r="V597" i="5" s="1"/>
  <c r="W597" i="5" s="1"/>
  <c r="P2" i="6"/>
  <c r="P10" i="6"/>
  <c r="P18" i="6"/>
  <c r="P26" i="6"/>
  <c r="P34" i="6"/>
  <c r="M35" i="6"/>
  <c r="N36" i="6"/>
  <c r="P36" i="6" s="1"/>
  <c r="P42" i="6"/>
  <c r="M43" i="6"/>
  <c r="P43" i="6" s="1"/>
  <c r="N44" i="6"/>
  <c r="P50" i="6"/>
  <c r="M51" i="6"/>
  <c r="P51" i="6" s="1"/>
  <c r="N52" i="6"/>
  <c r="P58" i="6"/>
  <c r="N60" i="6"/>
  <c r="P60" i="6" s="1"/>
  <c r="P33" i="6"/>
  <c r="P41" i="6"/>
  <c r="P57" i="6"/>
  <c r="P48" i="6"/>
  <c r="P56" i="6"/>
  <c r="M57" i="6"/>
  <c r="N61" i="6"/>
  <c r="M61" i="6"/>
  <c r="P61" i="6" s="1"/>
  <c r="P39" i="6"/>
  <c r="P47" i="6"/>
  <c r="P55" i="6"/>
  <c r="N57" i="6"/>
  <c r="M30" i="6"/>
  <c r="P30" i="6" s="1"/>
  <c r="M38" i="6"/>
  <c r="P38" i="6" s="1"/>
  <c r="M46" i="6"/>
  <c r="P46" i="6" s="1"/>
  <c r="M54" i="6"/>
  <c r="P54" i="6" s="1"/>
  <c r="M37" i="6"/>
  <c r="P37" i="6" s="1"/>
  <c r="M45" i="6"/>
  <c r="P45" i="6" s="1"/>
  <c r="P52" i="6"/>
  <c r="M53" i="6"/>
  <c r="P53" i="6" s="1"/>
  <c r="N594" i="5"/>
  <c r="R594" i="5" s="1"/>
  <c r="V594" i="5" s="1"/>
  <c r="W594" i="5" s="1"/>
  <c r="M600" i="5"/>
  <c r="N600" i="5" s="1"/>
  <c r="R600" i="5" s="1"/>
  <c r="V600" i="5" s="1"/>
  <c r="W600" i="5" s="1"/>
  <c r="M44" i="6"/>
  <c r="P44" i="6" s="1"/>
  <c r="P59" i="6"/>
  <c r="C17" i="1" l="1"/>
  <c r="C21" i="1"/>
  <c r="C5" i="1"/>
  <c r="P13" i="6"/>
  <c r="E65" i="6"/>
  <c r="P21" i="6"/>
  <c r="P23" i="6"/>
  <c r="P8" i="6"/>
  <c r="E68" i="6" s="1"/>
  <c r="C25" i="1" s="1"/>
  <c r="E66" i="6"/>
  <c r="V603" i="5"/>
  <c r="W2" i="5"/>
  <c r="C10" i="1"/>
  <c r="C14" i="1" s="1"/>
  <c r="C6" i="1"/>
  <c r="C4" i="1"/>
  <c r="W603" i="5" l="1"/>
  <c r="C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D70" authorId="0" shapeId="0" xr:uid="{00000000-0006-0000-0200-000005000000}">
      <text>
        <r>
          <rPr>
            <sz val="10"/>
            <rFont val="Arial"/>
            <family val="2"/>
          </rPr>
          <t>Shipping Log shows 31 Dec 2025 delivery. Logistics email 2025-12-30 confirms all 29-Dec-dock orders hit a transport breakdown and were delivered first week of January. Recorded date flagged as unreliable.</t>
        </r>
      </text>
    </comment>
    <comment ref="J70" authorId="0" shapeId="0" xr:uid="{00000000-0006-0000-0200-000006000000}">
      <text>
        <r>
          <rPr>
            <sz val="10"/>
            <rFont val="Arial"/>
            <family val="2"/>
          </rPr>
          <t>Override: recognition deferred to Q1 2026. Actual delivery (first week Jan) per logistics email 2025-12-30, overriding the 31 Dec system date. FOB Destination =&gt; control transfers on delivery.</t>
        </r>
      </text>
    </comment>
    <comment ref="A593" authorId="0" shapeId="0" xr:uid="{00000000-0006-0000-0200-000001000000}">
      <text>
        <r>
          <rPr>
            <sz val="10"/>
            <rFont val="Arial"/>
            <family val="2"/>
          </rPr>
          <t>Invoice-only sale; no entry in Order Log or Shipping Log (completeness finding). FOB Destination: delivery date not stated =&gt; imputed ship+30d per delivery-window convention (email 2025-11-12). Recognised in Q4.</t>
        </r>
      </text>
    </comment>
    <comment ref="A594" authorId="0" shapeId="0" xr:uid="{00000000-0006-0000-0200-000002000000}">
      <text>
        <r>
          <rPr>
            <sz val="10"/>
            <rFont val="Arial"/>
            <family val="2"/>
          </rPr>
          <t>Invoice-only sale; no entry in Order Log or Shipping Log (completeness finding). FOB Shipping Point: control transfers at dispatch =&gt; recognised in Q4. ('net 30 days' on invoice is a payment term, not a recognition trigger.)</t>
        </r>
      </text>
    </comment>
    <comment ref="A595" authorId="0" shapeId="0" xr:uid="{00000000-0006-0000-0200-000003000000}">
      <text>
        <r>
          <rPr>
            <sz val="10"/>
            <rFont val="Arial"/>
            <family val="2"/>
          </rPr>
          <t>Invoice-only sale; no entry in Order Log or Shipping Log (completeness finding). FOB Destination: delivery date not stated =&gt; imputed ship+30d per delivery-window convention (email 2025-11-12). Recognised in Q4.</t>
        </r>
      </text>
    </comment>
    <comment ref="A596" authorId="0" shapeId="0" xr:uid="{00000000-0006-0000-0200-000004000000}">
      <text>
        <r>
          <rPr>
            <sz val="10"/>
            <rFont val="Arial"/>
            <family val="2"/>
          </rPr>
          <t>Invoice-only sale; no entry in Order Log or Shipping Log (completeness finding). FOB Shipping Point: control transfers at dispatch =&gt; recognised in Q4. ('net 30 days' on invoice is a payment term, not a recognition trigger.)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18" authorId="0" shapeId="0" xr:uid="{00000000-0006-0000-0700-000001000000}">
      <text>
        <r>
          <rPr>
            <sz val="10"/>
            <rFont val="Arial"/>
            <family val="2"/>
          </rPr>
          <t>SHP-70069 included here: revenue deferred (Q1) per 30-Dec transport-breakdown email, so the goods are in transit at 31 Dec with title retained — added back at cost.</t>
        </r>
      </text>
    </comment>
  </commentList>
</comments>
</file>

<file path=xl/sharedStrings.xml><?xml version="1.0" encoding="utf-8"?>
<sst xmlns="http://schemas.openxmlformats.org/spreadsheetml/2006/main" count="9216" uniqueCount="3226">
  <si>
    <t>Revenue recorded in Q4 2025</t>
  </si>
  <si>
    <t>Control-transfer basis; incl. invoice completeness</t>
  </si>
  <si>
    <t>Revenue deferred to Q1 2026</t>
  </si>
  <si>
    <t>Jan control transfer; FOB &amp; breakdown lines</t>
  </si>
  <si>
    <t>After reserves, recalls, NRV (3 lots)</t>
  </si>
  <si>
    <t>Less: sold goods still in the extract (3 lots, delivered Q4)</t>
  </si>
  <si>
    <t>FOB SP, shipped &amp; delivered Oct; never relieved</t>
  </si>
  <si>
    <t>Add: in-transit FOB Destination (title retained), at cost</t>
  </si>
  <si>
    <t>Shipped &lt;=31 Dec, delivered Jan (incl. SHP-70069)</t>
  </si>
  <si>
    <t>Add: owned stock off the extract (Email 13), net</t>
  </si>
  <si>
    <t>In-transit FOB SP, consignment, 3PL</t>
  </si>
  <si>
    <t>Net inventory at 31 Dec 2025 (headline)</t>
  </si>
  <si>
    <t>Adjustment build-up (warehouse extract)</t>
  </si>
  <si>
    <t>Recall write-off (3 lots, 100%)</t>
  </si>
  <si>
    <t>Expiry reserves (policy tiers)</t>
  </si>
  <si>
    <t>Short-dated 2025, 50% (2 lots)</t>
  </si>
  <si>
    <t>Stale-2023 LOT-10139 (prudent 100%)</t>
  </si>
  <si>
    <t>NRV write-downs (LOT-10252 + LOT-10322)</t>
  </si>
  <si>
    <t>Employees with &gt;=1 SoD conflict</t>
  </si>
  <si>
    <t>of total distinct employees</t>
  </si>
  <si>
    <t>Revenue recognition dates</t>
  </si>
  <si>
    <t>Q4 2025 start</t>
  </si>
  <si>
    <t>Q4 2025 end</t>
  </si>
  <si>
    <t>Inventory evaluation date</t>
  </si>
  <si>
    <t>Shelf life by category (months) — applied when no printed expiry date</t>
  </si>
  <si>
    <t>Recalled lots (not saleable → 100% write-off)</t>
  </si>
  <si>
    <t>Short-dated 2025 (→ 50%)</t>
  </si>
  <si>
    <t>Stale 2023 alert (flagged)</t>
  </si>
  <si>
    <t>NRV override (lower of cost/NRV)</t>
  </si>
  <si>
    <t>Category</t>
  </si>
  <si>
    <t>Shelf_Life_Months</t>
  </si>
  <si>
    <t>LOT-10065</t>
  </si>
  <si>
    <t>LOT-10277</t>
  </si>
  <si>
    <t>LOT-10139</t>
  </si>
  <si>
    <t>LOT-10252</t>
  </si>
  <si>
    <t>NRV_Unit ($)</t>
  </si>
  <si>
    <t>Sterile Injectables</t>
  </si>
  <si>
    <t>LOT-10406</t>
  </si>
  <si>
    <t>LOT-10524</t>
  </si>
  <si>
    <t>Oral Solids</t>
  </si>
  <si>
    <t>LOT-10528</t>
  </si>
  <si>
    <t>LOT-10322</t>
  </si>
  <si>
    <t>Reagents</t>
  </si>
  <si>
    <t>LOT-10506</t>
  </si>
  <si>
    <t>Nutraceuticals</t>
  </si>
  <si>
    <t>Cold-Chain Biologics</t>
  </si>
  <si>
    <t>Diagnostic Kits</t>
  </si>
  <si>
    <t>Packaging</t>
  </si>
  <si>
    <t>Reserve policy (per client note, transcribed)</t>
  </si>
  <si>
    <t>Expired (days remaining &lt; 0)</t>
  </si>
  <si>
    <t>90 days or fewer remaining</t>
  </si>
  <si>
    <t>50% reserve</t>
  </si>
  <si>
    <t>91 to 180 days remaining</t>
  </si>
  <si>
    <t>25% reserve</t>
  </si>
  <si>
    <t>More than 180 days</t>
  </si>
  <si>
    <t>Carried at lower of cost or NRV</t>
  </si>
  <si>
    <t>Note: Email 4 (LOT-10139) is dated 2023-12-14 (two years pre-period) — treated as a stale distractor, not a current short-dated event. See Traps tab.</t>
  </si>
  <si>
    <t>Cut-off evidence &amp; overrides (per emails)</t>
  </si>
  <si>
    <t>Note: invoice footer "net 30 days from invoice date" is a payment term, NOT a recognition trigger.</t>
  </si>
  <si>
    <t>Shipment_ID</t>
  </si>
  <si>
    <t>Order_ID</t>
  </si>
  <si>
    <t>Ship_Date</t>
  </si>
  <si>
    <t>Delivery_Date</t>
  </si>
  <si>
    <t>Qty_Shipped</t>
  </si>
  <si>
    <t>SKU</t>
  </si>
  <si>
    <t>Lot_ID</t>
  </si>
  <si>
    <t>Unit_Price ($)</t>
  </si>
  <si>
    <t>Shipping_Terms</t>
  </si>
  <si>
    <t>Recognition_Date</t>
  </si>
  <si>
    <t>Revenue ($)</t>
  </si>
  <si>
    <t>Recognition_Bucket</t>
  </si>
  <si>
    <t>SHP-70001</t>
  </si>
  <si>
    <t>ORD-2025-20000</t>
  </si>
  <si>
    <t>SKU-NUT-9046</t>
  </si>
  <si>
    <t>LOT-10008</t>
  </si>
  <si>
    <t>SHP-70002</t>
  </si>
  <si>
    <t>ORD-2025-20001</t>
  </si>
  <si>
    <t>SKU-REA-5349</t>
  </si>
  <si>
    <t>LOT-10328</t>
  </si>
  <si>
    <t>SHP-70003</t>
  </si>
  <si>
    <t>ORD-2025-20002</t>
  </si>
  <si>
    <t>SHP-70004</t>
  </si>
  <si>
    <t>ORD-2025-20003</t>
  </si>
  <si>
    <t>SKU-ORA-4557</t>
  </si>
  <si>
    <t>LOT-10012</t>
  </si>
  <si>
    <t>SHP-70005</t>
  </si>
  <si>
    <t>SKU-ORA-5058</t>
  </si>
  <si>
    <t>LOT-10020</t>
  </si>
  <si>
    <t>SHP-70006</t>
  </si>
  <si>
    <t>ORD-2025-20004</t>
  </si>
  <si>
    <t>SKU-ORA-3247</t>
  </si>
  <si>
    <t>LOT-10024</t>
  </si>
  <si>
    <t>SHP-70007</t>
  </si>
  <si>
    <t>ORD-2025-20006</t>
  </si>
  <si>
    <t>SHP-70008</t>
  </si>
  <si>
    <t>ORD-2025-20007</t>
  </si>
  <si>
    <t>SHP-70009</t>
  </si>
  <si>
    <t>ORD-2025-20008</t>
  </si>
  <si>
    <t>SHP-70010</t>
  </si>
  <si>
    <t>ORD-2025-20009</t>
  </si>
  <si>
    <t>SKU-NUT-1870</t>
  </si>
  <si>
    <t>LOT-10011</t>
  </si>
  <si>
    <t>SHP-70011</t>
  </si>
  <si>
    <t>ORD-2025-20011</t>
  </si>
  <si>
    <t>SHP-70012</t>
  </si>
  <si>
    <t>ORD-2025-20014</t>
  </si>
  <si>
    <t>SHP-70013</t>
  </si>
  <si>
    <t>ORD-2025-20015</t>
  </si>
  <si>
    <t>SKU-STE-7365</t>
  </si>
  <si>
    <t>LOT-10027</t>
  </si>
  <si>
    <t>SHP-70014</t>
  </si>
  <si>
    <t>ORD-2025-20016</t>
  </si>
  <si>
    <t>SKU-NUT-3552</t>
  </si>
  <si>
    <t>LOT-10030</t>
  </si>
  <si>
    <t>SHP-70015</t>
  </si>
  <si>
    <t>ORD-2025-20017</t>
  </si>
  <si>
    <t>SHP-70016</t>
  </si>
  <si>
    <t>ORD-2025-20018</t>
  </si>
  <si>
    <t>SKU-NUT-7439</t>
  </si>
  <si>
    <t>LOT-10182</t>
  </si>
  <si>
    <t>SHP-70017</t>
  </si>
  <si>
    <t>ORD-2025-20019</t>
  </si>
  <si>
    <t>SKU-NUT-7271</t>
  </si>
  <si>
    <t>LOT-10201</t>
  </si>
  <si>
    <t>SHP-70018</t>
  </si>
  <si>
    <t>ORD-2025-20020</t>
  </si>
  <si>
    <t>SHP-70019</t>
  </si>
  <si>
    <t>ORD-2025-20021</t>
  </si>
  <si>
    <t>SHP-70020</t>
  </si>
  <si>
    <t>ORD-2025-20022</t>
  </si>
  <si>
    <t>SKU-STE-1920</t>
  </si>
  <si>
    <t>LOT-10051</t>
  </si>
  <si>
    <t>SHP-70021</t>
  </si>
  <si>
    <t>ORD-2025-20023</t>
  </si>
  <si>
    <t>SKU-STE-3271</t>
  </si>
  <si>
    <t>LOT-10061</t>
  </si>
  <si>
    <t>SHP-70022</t>
  </si>
  <si>
    <t>ORD-2025-20024</t>
  </si>
  <si>
    <t>SHP-70023</t>
  </si>
  <si>
    <t>ORD-2025-20025</t>
  </si>
  <si>
    <t>SHP-70024</t>
  </si>
  <si>
    <t>ORD-2025-20026</t>
  </si>
  <si>
    <t>SHP-70025</t>
  </si>
  <si>
    <t>ORD-2025-20027</t>
  </si>
  <si>
    <t>SKU-ORA-1704</t>
  </si>
  <si>
    <t>LOT-10037</t>
  </si>
  <si>
    <t>SHP-70026</t>
  </si>
  <si>
    <t>ORD-2025-20028</t>
  </si>
  <si>
    <t>SHP-70027</t>
  </si>
  <si>
    <t>SKU-NUT-5884</t>
  </si>
  <si>
    <t>LOT-10244</t>
  </si>
  <si>
    <t>SHP-70028</t>
  </si>
  <si>
    <t>ORD-2025-20029</t>
  </si>
  <si>
    <t>SHP-70029</t>
  </si>
  <si>
    <t>SHP-70030</t>
  </si>
  <si>
    <t>ORD-2025-20030</t>
  </si>
  <si>
    <t>SHP-70031</t>
  </si>
  <si>
    <t>SHP-70032</t>
  </si>
  <si>
    <t>ORD-2025-20031</t>
  </si>
  <si>
    <t>SHP-70033</t>
  </si>
  <si>
    <t>ORD-2025-20032</t>
  </si>
  <si>
    <t>SKU-STE-1213</t>
  </si>
  <si>
    <t>LOT-10067</t>
  </si>
  <si>
    <t>SHP-70034</t>
  </si>
  <si>
    <t>ORD-2025-20033</t>
  </si>
  <si>
    <t>SHP-70035</t>
  </si>
  <si>
    <t>ORD-2025-20034</t>
  </si>
  <si>
    <t>SHP-70036</t>
  </si>
  <si>
    <t>ORD-2025-20035</t>
  </si>
  <si>
    <t>SHP-70037</t>
  </si>
  <si>
    <t>ORD-2025-20036</t>
  </si>
  <si>
    <t>SKU-STE-7167</t>
  </si>
  <si>
    <t>LOT-10069</t>
  </si>
  <si>
    <t>SHP-70038</t>
  </si>
  <si>
    <t>ORD-2025-20037</t>
  </si>
  <si>
    <t>SHP-70039</t>
  </si>
  <si>
    <t>SKU-NUT-4421</t>
  </si>
  <si>
    <t>LOT-10266</t>
  </si>
  <si>
    <t>SHP-70040</t>
  </si>
  <si>
    <t>ORD-2025-20038</t>
  </si>
  <si>
    <t>SHP-70041</t>
  </si>
  <si>
    <t>ORD-2025-20039</t>
  </si>
  <si>
    <t>SKU-ORA-7963</t>
  </si>
  <si>
    <t>LOT-10042</t>
  </si>
  <si>
    <t>SHP-70042</t>
  </si>
  <si>
    <t>ORD-2025-20040</t>
  </si>
  <si>
    <t>SKU-ORA-5704</t>
  </si>
  <si>
    <t>LOT-10053</t>
  </si>
  <si>
    <t>SHP-70043</t>
  </si>
  <si>
    <t>SKU-ORA-1020</t>
  </si>
  <si>
    <t>LOT-10059</t>
  </si>
  <si>
    <t>SHP-70044</t>
  </si>
  <si>
    <t>ORD-2025-20041</t>
  </si>
  <si>
    <t>SKU-ORA-6934</t>
  </si>
  <si>
    <t>LOT-10070</t>
  </si>
  <si>
    <t>SHP-70045</t>
  </si>
  <si>
    <t>ORD-2025-20042</t>
  </si>
  <si>
    <t>SHP-70046</t>
  </si>
  <si>
    <t>ORD-2025-20043</t>
  </si>
  <si>
    <t>SKU-STE-6185</t>
  </si>
  <si>
    <t>LOT-10072</t>
  </si>
  <si>
    <t>SHP-70047</t>
  </si>
  <si>
    <t>ORD-2025-20044</t>
  </si>
  <si>
    <t>SKU-NUT-2316</t>
  </si>
  <si>
    <t>LOT-10278</t>
  </si>
  <si>
    <t>SHP-70048</t>
  </si>
  <si>
    <t>ORD-2025-20045</t>
  </si>
  <si>
    <t>SKU-STE-4635</t>
  </si>
  <si>
    <t>LOT-10088</t>
  </si>
  <si>
    <t>SHP-70049</t>
  </si>
  <si>
    <t>SKU-STE-5460</t>
  </si>
  <si>
    <t>LOT-10094</t>
  </si>
  <si>
    <t>SHP-70050</t>
  </si>
  <si>
    <t>ORD-2025-20046</t>
  </si>
  <si>
    <t>SHP-70051</t>
  </si>
  <si>
    <t>SHP-70052</t>
  </si>
  <si>
    <t>ORD-2025-20047</t>
  </si>
  <si>
    <t>SHP-70053</t>
  </si>
  <si>
    <t>ORD-2025-20048</t>
  </si>
  <si>
    <t>SHP-70054</t>
  </si>
  <si>
    <t>ORD-2025-20049</t>
  </si>
  <si>
    <t>SHP-70055</t>
  </si>
  <si>
    <t>ORD-2025-20050</t>
  </si>
  <si>
    <t>SHP-70056</t>
  </si>
  <si>
    <t>ORD-2025-20051</t>
  </si>
  <si>
    <t>SKU-STE-3175</t>
  </si>
  <si>
    <t>LOT-10112</t>
  </si>
  <si>
    <t>SHP-70057</t>
  </si>
  <si>
    <t>ORD-2025-20052</t>
  </si>
  <si>
    <t>SKU-NUT-8393</t>
  </si>
  <si>
    <t>LOT-10389</t>
  </si>
  <si>
    <t>SHP-70058</t>
  </si>
  <si>
    <t>ORD-2025-20053</t>
  </si>
  <si>
    <t>SKU-NUT-5165</t>
  </si>
  <si>
    <t>LOT-10391</t>
  </si>
  <si>
    <t>SHP-70059</t>
  </si>
  <si>
    <t>ORD-2025-20054</t>
  </si>
  <si>
    <t>SHP-70060</t>
  </si>
  <si>
    <t>ORD-2025-20055</t>
  </si>
  <si>
    <t>SKU-STE-9459</t>
  </si>
  <si>
    <t>LOT-10132</t>
  </si>
  <si>
    <t>SHP-70061</t>
  </si>
  <si>
    <t>ORD-2025-20056</t>
  </si>
  <si>
    <t>SHP-70062</t>
  </si>
  <si>
    <t>ORD-2025-20057</t>
  </si>
  <si>
    <t>SHP-70063</t>
  </si>
  <si>
    <t>SHP-70064</t>
  </si>
  <si>
    <t>ORD-2025-20058</t>
  </si>
  <si>
    <t>SKU-ORA-7732</t>
  </si>
  <si>
    <t>LOT-10097</t>
  </si>
  <si>
    <t>SHP-70065</t>
  </si>
  <si>
    <t>ORD-2025-20059</t>
  </si>
  <si>
    <t>SKU-STE-2749</t>
  </si>
  <si>
    <t>LOT-10143</t>
  </si>
  <si>
    <t>SHP-70066</t>
  </si>
  <si>
    <t>ORD-2025-20060</t>
  </si>
  <si>
    <t>SKU-ORA-3005</t>
  </si>
  <si>
    <t>LOT-10104</t>
  </si>
  <si>
    <t>SHP-70067</t>
  </si>
  <si>
    <t>ORD-2025-20061</t>
  </si>
  <si>
    <t>SHP-70068</t>
  </si>
  <si>
    <t>ORD-2025-20062</t>
  </si>
  <si>
    <t>SKU-NUT-5822</t>
  </si>
  <si>
    <t>LOT-10392</t>
  </si>
  <si>
    <t>SHP-70069</t>
  </si>
  <si>
    <t>ORD-2025-20063</t>
  </si>
  <si>
    <t>SHP-70070</t>
  </si>
  <si>
    <t>ORD-2025-20064</t>
  </si>
  <si>
    <t>SHP-70071</t>
  </si>
  <si>
    <t>ORD-2025-20065</t>
  </si>
  <si>
    <t>SKU-STE-2253</t>
  </si>
  <si>
    <t>LOT-10149</t>
  </si>
  <si>
    <t>SHP-70072</t>
  </si>
  <si>
    <t>ORD-2025-20067</t>
  </si>
  <si>
    <t>SHP-70073</t>
  </si>
  <si>
    <t>SHP-70074</t>
  </si>
  <si>
    <t>ORD-2025-20068</t>
  </si>
  <si>
    <t>SKU-NUT-2210</t>
  </si>
  <si>
    <t>LOT-10394</t>
  </si>
  <si>
    <t>SHP-70075</t>
  </si>
  <si>
    <t>ORD-2025-20069</t>
  </si>
  <si>
    <t>SHP-70076</t>
  </si>
  <si>
    <t>SHP-70077</t>
  </si>
  <si>
    <t>ORD-2025-20070</t>
  </si>
  <si>
    <t>SKU-NUT-2839</t>
  </si>
  <si>
    <t>LOT-10464</t>
  </si>
  <si>
    <t>SHP-70078</t>
  </si>
  <si>
    <t>ORD-2025-20071</t>
  </si>
  <si>
    <t>SKU-ORA-1647</t>
  </si>
  <si>
    <t>LOT-10111</t>
  </si>
  <si>
    <t>SHP-70079</t>
  </si>
  <si>
    <t>ORD-2025-20072</t>
  </si>
  <si>
    <t>SKU-NUT-1335</t>
  </si>
  <si>
    <t>LOT-10502</t>
  </si>
  <si>
    <t>SHP-70080</t>
  </si>
  <si>
    <t>ORD-2025-20073</t>
  </si>
  <si>
    <t>SHP-70081</t>
  </si>
  <si>
    <t>SHP-70082</t>
  </si>
  <si>
    <t>ORD-2025-20074</t>
  </si>
  <si>
    <t>SHP-70083</t>
  </si>
  <si>
    <t>SHP-70084</t>
  </si>
  <si>
    <t>ORD-2025-20075</t>
  </si>
  <si>
    <t>SKU-NUT-9108</t>
  </si>
  <si>
    <t>LOT-10541</t>
  </si>
  <si>
    <t>SHP-70085</t>
  </si>
  <si>
    <t>ORD-2025-20076</t>
  </si>
  <si>
    <t>SKU-STE-8417</t>
  </si>
  <si>
    <t>LOT-10152</t>
  </si>
  <si>
    <t>SHP-70086</t>
  </si>
  <si>
    <t>SKU-STE-9391</t>
  </si>
  <si>
    <t>LOT-10161</t>
  </si>
  <si>
    <t>SHP-70087</t>
  </si>
  <si>
    <t>ORD-2025-20078</t>
  </si>
  <si>
    <t>SHP-70088</t>
  </si>
  <si>
    <t>ORD-2025-20079</t>
  </si>
  <si>
    <t>SHP-70089</t>
  </si>
  <si>
    <t>ORD-2025-20080</t>
  </si>
  <si>
    <t>SHP-70090</t>
  </si>
  <si>
    <t>ORD-2025-20081</t>
  </si>
  <si>
    <t>SKU-NUT-8004</t>
  </si>
  <si>
    <t>LOT-10543</t>
  </si>
  <si>
    <t>SHP-70091</t>
  </si>
  <si>
    <t>ORD-2025-20082</t>
  </si>
  <si>
    <t>SKU-ORA-7430</t>
  </si>
  <si>
    <t>LOT-10113</t>
  </si>
  <si>
    <t>SHP-70092</t>
  </si>
  <si>
    <t>SKU-ORA-4620</t>
  </si>
  <si>
    <t>LOT-10115</t>
  </si>
  <si>
    <t>SHP-70093</t>
  </si>
  <si>
    <t>ORD-2025-20083</t>
  </si>
  <si>
    <t>SHP-70094</t>
  </si>
  <si>
    <t>SHP-70095</t>
  </si>
  <si>
    <t>ORD-2025-20084</t>
  </si>
  <si>
    <t>SHP-70096</t>
  </si>
  <si>
    <t>ORD-2025-20085</t>
  </si>
  <si>
    <t>SHP-70097</t>
  </si>
  <si>
    <t>ORD-2025-20086</t>
  </si>
  <si>
    <t>SHP-70098</t>
  </si>
  <si>
    <t>ORD-2025-20087</t>
  </si>
  <si>
    <t>SHP-70099</t>
  </si>
  <si>
    <t>SHP-70100</t>
  </si>
  <si>
    <t>ORD-2025-20088</t>
  </si>
  <si>
    <t>SHP-70101</t>
  </si>
  <si>
    <t>ORD-2025-20089</t>
  </si>
  <si>
    <t>SHP-70102</t>
  </si>
  <si>
    <t>SHP-70103</t>
  </si>
  <si>
    <t>ORD-2025-20090</t>
  </si>
  <si>
    <t>SHP-70104</t>
  </si>
  <si>
    <t>ORD-2025-20091</t>
  </si>
  <si>
    <t>SHP-70105</t>
  </si>
  <si>
    <t>ORD-2025-20092</t>
  </si>
  <si>
    <t>SHP-70106</t>
  </si>
  <si>
    <t>SHP-70107</t>
  </si>
  <si>
    <t>ORD-2025-20093</t>
  </si>
  <si>
    <t>SKU-STE-2657</t>
  </si>
  <si>
    <t>LOT-10166</t>
  </si>
  <si>
    <t>SHP-70108</t>
  </si>
  <si>
    <t>ORD-2025-20094</t>
  </si>
  <si>
    <t>SKU-ORA-7401</t>
  </si>
  <si>
    <t>LOT-10133</t>
  </si>
  <si>
    <t>SHP-70109</t>
  </si>
  <si>
    <t>ORD-2025-20095</t>
  </si>
  <si>
    <t>SHP-70110</t>
  </si>
  <si>
    <t>ORD-2025-20096</t>
  </si>
  <si>
    <t>SKU-STE-7303</t>
  </si>
  <si>
    <t>LOT-10184</t>
  </si>
  <si>
    <t>SHP-70111</t>
  </si>
  <si>
    <t>ORD-2025-20097</t>
  </si>
  <si>
    <t>SKU-NUT-7175</t>
  </si>
  <si>
    <t>LOT-10551</t>
  </si>
  <si>
    <t>SHP-70112</t>
  </si>
  <si>
    <t>SHP-70113</t>
  </si>
  <si>
    <t>ORD-2025-20098</t>
  </si>
  <si>
    <t>SKU-ORA-1414</t>
  </si>
  <si>
    <t>LOT-10136</t>
  </si>
  <si>
    <t>SHP-70114</t>
  </si>
  <si>
    <t>ORD-2025-20099</t>
  </si>
  <si>
    <t>SHP-70115</t>
  </si>
  <si>
    <t>SHP-70116</t>
  </si>
  <si>
    <t>ORD-2025-20100</t>
  </si>
  <si>
    <t>SHP-70117</t>
  </si>
  <si>
    <t>ORD-2025-20101</t>
  </si>
  <si>
    <t>SKU-STE-8594</t>
  </si>
  <si>
    <t>LOT-10196</t>
  </si>
  <si>
    <t>SHP-70118</t>
  </si>
  <si>
    <t>SKU-STE-5850</t>
  </si>
  <si>
    <t>LOT-10207</t>
  </si>
  <si>
    <t>SHP-70119</t>
  </si>
  <si>
    <t>ORD-2025-20102</t>
  </si>
  <si>
    <t>SHP-70120</t>
  </si>
  <si>
    <t>ORD-2025-20103</t>
  </si>
  <si>
    <t>SHP-70121</t>
  </si>
  <si>
    <t>ORD-2025-20104</t>
  </si>
  <si>
    <t>SHP-70122</t>
  </si>
  <si>
    <t>ORD-2025-20105</t>
  </si>
  <si>
    <t>SHP-70123</t>
  </si>
  <si>
    <t>ORD-2025-20106</t>
  </si>
  <si>
    <t>SHP-70124</t>
  </si>
  <si>
    <t>ORD-2025-20107</t>
  </si>
  <si>
    <t>SHP-70125</t>
  </si>
  <si>
    <t>ORD-2025-20108</t>
  </si>
  <si>
    <t>SHP-70126</t>
  </si>
  <si>
    <t>ORD-2025-20109</t>
  </si>
  <si>
    <t>SHP-70127</t>
  </si>
  <si>
    <t>SHP-70128</t>
  </si>
  <si>
    <t>ORD-2025-20110</t>
  </si>
  <si>
    <t>SHP-70129</t>
  </si>
  <si>
    <t>ORD-2025-20111</t>
  </si>
  <si>
    <t>SHP-70130</t>
  </si>
  <si>
    <t>ORD-2025-20112</t>
  </si>
  <si>
    <t>SKU-STE-6895</t>
  </si>
  <si>
    <t>LOT-10229</t>
  </si>
  <si>
    <t>SHP-70131</t>
  </si>
  <si>
    <t>ORD-2025-20113</t>
  </si>
  <si>
    <t>SKU-STE-8693</t>
  </si>
  <si>
    <t>LOT-10237</t>
  </si>
  <si>
    <t>SHP-70132</t>
  </si>
  <si>
    <t>ORD-2025-20114</t>
  </si>
  <si>
    <t>SKU-STE-9835</t>
  </si>
  <si>
    <t>LOT-10289</t>
  </si>
  <si>
    <t>SHP-70133</t>
  </si>
  <si>
    <t>ORD-2025-20115</t>
  </si>
  <si>
    <t>SHP-70134</t>
  </si>
  <si>
    <t>SHP-70135</t>
  </si>
  <si>
    <t>ORD-2025-20116</t>
  </si>
  <si>
    <t>SKU-ORA-3614</t>
  </si>
  <si>
    <t>LOT-10140</t>
  </si>
  <si>
    <t>SHP-70136</t>
  </si>
  <si>
    <t>ORD-2025-20117</t>
  </si>
  <si>
    <t>SKU-STE-7734</t>
  </si>
  <si>
    <t>LOT-10295</t>
  </si>
  <si>
    <t>SHP-70137</t>
  </si>
  <si>
    <t>ORD-2025-20118</t>
  </si>
  <si>
    <t>SHP-70138</t>
  </si>
  <si>
    <t>ORD-2025-20119</t>
  </si>
  <si>
    <t>SHP-70139</t>
  </si>
  <si>
    <t>ORD-2025-20120</t>
  </si>
  <si>
    <t>SHP-70140</t>
  </si>
  <si>
    <t>ORD-2025-20121</t>
  </si>
  <si>
    <t>SHP-70141</t>
  </si>
  <si>
    <t>ORD-2025-20122</t>
  </si>
  <si>
    <t>SHP-70142</t>
  </si>
  <si>
    <t>ORD-2025-20123</t>
  </si>
  <si>
    <t>SHP-70143</t>
  </si>
  <si>
    <t>SHP-70144</t>
  </si>
  <si>
    <t>ORD-2025-20124</t>
  </si>
  <si>
    <t>SKU-ORA-7405</t>
  </si>
  <si>
    <t>LOT-10144</t>
  </si>
  <si>
    <t>SHP-70145</t>
  </si>
  <si>
    <t>ORD-2025-20125</t>
  </si>
  <si>
    <t>SHP-70146</t>
  </si>
  <si>
    <t>ORD-2025-20126</t>
  </si>
  <si>
    <t>SHP-70147</t>
  </si>
  <si>
    <t>ORD-2025-20127</t>
  </si>
  <si>
    <t>SKU-STE-1739</t>
  </si>
  <si>
    <t>LOT-10296</t>
  </si>
  <si>
    <t>SHP-70148</t>
  </si>
  <si>
    <t>SKU-STE-9248</t>
  </si>
  <si>
    <t>LOT-10309</t>
  </si>
  <si>
    <t>SHP-70149</t>
  </si>
  <si>
    <t>ORD-2025-20128</t>
  </si>
  <si>
    <t>SHP-70150</t>
  </si>
  <si>
    <t>ORD-2025-20129</t>
  </si>
  <si>
    <t>SHP-70151</t>
  </si>
  <si>
    <t>ORD-2025-20130</t>
  </si>
  <si>
    <t>SHP-70152</t>
  </si>
  <si>
    <t>SHP-70153</t>
  </si>
  <si>
    <t>ORD-2025-20131</t>
  </si>
  <si>
    <t>SHP-70154</t>
  </si>
  <si>
    <t>SHP-70155</t>
  </si>
  <si>
    <t>ORD-2025-20132</t>
  </si>
  <si>
    <t>SHP-70156</t>
  </si>
  <si>
    <t>ORD-2025-20133</t>
  </si>
  <si>
    <t>SKU-ORA-9948</t>
  </si>
  <si>
    <t>LOT-10146</t>
  </si>
  <si>
    <t>SHP-70157</t>
  </si>
  <si>
    <t>ORD-2025-20134</t>
  </si>
  <si>
    <t>SKU-STE-7837</t>
  </si>
  <si>
    <t>LOT-10315</t>
  </si>
  <si>
    <t>SHP-70158</t>
  </si>
  <si>
    <t>ORD-2025-20135</t>
  </si>
  <si>
    <t>SHP-70159</t>
  </si>
  <si>
    <t>ORD-2025-20136</t>
  </si>
  <si>
    <t>SHP-70160</t>
  </si>
  <si>
    <t>ORD-2025-20137</t>
  </si>
  <si>
    <t>SHP-70161</t>
  </si>
  <si>
    <t>ORD-2025-20138</t>
  </si>
  <si>
    <t>SHP-70162</t>
  </si>
  <si>
    <t>SHP-70163</t>
  </si>
  <si>
    <t>ORD-2025-20139</t>
  </si>
  <si>
    <t>SHP-70164</t>
  </si>
  <si>
    <t>ORD-2025-20140</t>
  </si>
  <si>
    <t>SHP-70165</t>
  </si>
  <si>
    <t>ORD-2025-20141</t>
  </si>
  <si>
    <t>SHP-70166</t>
  </si>
  <si>
    <t>ORD-2025-20142</t>
  </si>
  <si>
    <t>SHP-70167</t>
  </si>
  <si>
    <t>SHP-70168</t>
  </si>
  <si>
    <t>ORD-2025-20143</t>
  </si>
  <si>
    <t>SHP-70169</t>
  </si>
  <si>
    <t>ORD-2025-20144</t>
  </si>
  <si>
    <t>SHP-70170</t>
  </si>
  <si>
    <t>ORD-2025-20145</t>
  </si>
  <si>
    <t>SKU-STE-2355</t>
  </si>
  <si>
    <t>LOT-10327</t>
  </si>
  <si>
    <t>SHP-70171</t>
  </si>
  <si>
    <t>SKU-STE-3481</t>
  </si>
  <si>
    <t>LOT-10373</t>
  </si>
  <si>
    <t>SHP-70172</t>
  </si>
  <si>
    <t>ORD-2025-20146</t>
  </si>
  <si>
    <t>SKU-STE-8253</t>
  </si>
  <si>
    <t>LOT-10416</t>
  </si>
  <si>
    <t>SHP-70173</t>
  </si>
  <si>
    <t>SKU-STE-7020</t>
  </si>
  <si>
    <t>LOT-10427</t>
  </si>
  <si>
    <t>SHP-70174</t>
  </si>
  <si>
    <t>ORD-2025-20147</t>
  </si>
  <si>
    <t>SKU-ORA-5205</t>
  </si>
  <si>
    <t>LOT-10153</t>
  </si>
  <si>
    <t>SHP-70175</t>
  </si>
  <si>
    <t>ORD-2025-20148</t>
  </si>
  <si>
    <t>SKU-STE-2541</t>
  </si>
  <si>
    <t>LOT-10435</t>
  </si>
  <si>
    <t>SHP-70176</t>
  </si>
  <si>
    <t>ORD-2025-20149</t>
  </si>
  <si>
    <t>SHP-70177</t>
  </si>
  <si>
    <t>ORD-2025-20150</t>
  </si>
  <si>
    <t>SKU-ORA-1311</t>
  </si>
  <si>
    <t>LOT-10162</t>
  </si>
  <si>
    <t>SHP-70178</t>
  </si>
  <si>
    <t>ORD-2025-20151</t>
  </si>
  <si>
    <t>SHP-70179</t>
  </si>
  <si>
    <t>SHP-70180</t>
  </si>
  <si>
    <t>ORD-2025-20152</t>
  </si>
  <si>
    <t>SHP-70181</t>
  </si>
  <si>
    <t>ORD-2025-20153</t>
  </si>
  <si>
    <t>SKU-STE-7543</t>
  </si>
  <si>
    <t>LOT-10445</t>
  </si>
  <si>
    <t>SHP-70182</t>
  </si>
  <si>
    <t>ORD-2025-20154</t>
  </si>
  <si>
    <t>SHP-70183</t>
  </si>
  <si>
    <t>SHP-70184</t>
  </si>
  <si>
    <t>ORD-2025-20155</t>
  </si>
  <si>
    <t>SHP-70185</t>
  </si>
  <si>
    <t>ORD-2025-20156</t>
  </si>
  <si>
    <t>SHP-70186</t>
  </si>
  <si>
    <t>ORD-2025-20157</t>
  </si>
  <si>
    <t>SHP-70187</t>
  </si>
  <si>
    <t>ORD-2025-20158</t>
  </si>
  <si>
    <t>SHP-70188</t>
  </si>
  <si>
    <t>SHP-70189</t>
  </si>
  <si>
    <t>ORD-2025-20159</t>
  </si>
  <si>
    <t>SHP-70190</t>
  </si>
  <si>
    <t>ORD-2025-20160</t>
  </si>
  <si>
    <t>SKU-ORA-5104</t>
  </si>
  <si>
    <t>LOT-10174</t>
  </si>
  <si>
    <t>SHP-70191</t>
  </si>
  <si>
    <t>ORD-2025-20161</t>
  </si>
  <si>
    <t>SHP-70192</t>
  </si>
  <si>
    <t>SHP-70193</t>
  </si>
  <si>
    <t>ORD-2025-20162</t>
  </si>
  <si>
    <t>SHP-70194</t>
  </si>
  <si>
    <t>ORD-2025-20163</t>
  </si>
  <si>
    <t>SHP-70195</t>
  </si>
  <si>
    <t>ORD-2025-20164</t>
  </si>
  <si>
    <t>SHP-70196</t>
  </si>
  <si>
    <t>SHP-70197</t>
  </si>
  <si>
    <t>ORD-2025-20165</t>
  </si>
  <si>
    <t>SHP-70198</t>
  </si>
  <si>
    <t>ORD-2025-20166</t>
  </si>
  <si>
    <t>SHP-70199</t>
  </si>
  <si>
    <t>ORD-2025-20167</t>
  </si>
  <si>
    <t>SHP-70200</t>
  </si>
  <si>
    <t>ORD-2025-20168</t>
  </si>
  <si>
    <t>SHP-70201</t>
  </si>
  <si>
    <t>ORD-2025-20169</t>
  </si>
  <si>
    <t>SHP-70202</t>
  </si>
  <si>
    <t>ORD-2025-20170</t>
  </si>
  <si>
    <t>SHP-70203</t>
  </si>
  <si>
    <t>SHP-70204</t>
  </si>
  <si>
    <t>ORD-2025-20171</t>
  </si>
  <si>
    <t>SHP-70205</t>
  </si>
  <si>
    <t>ORD-2025-20172</t>
  </si>
  <si>
    <t>SHP-70206</t>
  </si>
  <si>
    <t>ORD-2025-20173</t>
  </si>
  <si>
    <t>SHP-70207</t>
  </si>
  <si>
    <t>ORD-2025-20174</t>
  </si>
  <si>
    <t>SHP-70208</t>
  </si>
  <si>
    <t>ORD-2025-20175</t>
  </si>
  <si>
    <t>SHP-70209</t>
  </si>
  <si>
    <t>SHP-70210</t>
  </si>
  <si>
    <t>ORD-2025-20176</t>
  </si>
  <si>
    <t>SHP-70211</t>
  </si>
  <si>
    <t>ORD-2025-20177</t>
  </si>
  <si>
    <t>SKU-ORA-6962</t>
  </si>
  <si>
    <t>LOT-10175</t>
  </si>
  <si>
    <t>SHP-70212</t>
  </si>
  <si>
    <t>SKU-ORA-4758</t>
  </si>
  <si>
    <t>LOT-10187</t>
  </si>
  <si>
    <t>SHP-70213</t>
  </si>
  <si>
    <t>ORD-2025-20178</t>
  </si>
  <si>
    <t>SHP-70214</t>
  </si>
  <si>
    <t>ORD-2025-20179</t>
  </si>
  <si>
    <t>SKU-ORA-9936</t>
  </si>
  <si>
    <t>LOT-10190</t>
  </si>
  <si>
    <t>SHP-70215</t>
  </si>
  <si>
    <t>ORD-2025-20180</t>
  </si>
  <si>
    <t>SHP-70216</t>
  </si>
  <si>
    <t>ORD-2025-20181</t>
  </si>
  <si>
    <t>SHP-70217</t>
  </si>
  <si>
    <t>ORD-2025-20182</t>
  </si>
  <si>
    <t>SHP-70218</t>
  </si>
  <si>
    <t>ORD-2025-20183</t>
  </si>
  <si>
    <t>SKU-STE-9429</t>
  </si>
  <si>
    <t>LOT-10457</t>
  </si>
  <si>
    <t>SHP-70219</t>
  </si>
  <si>
    <t>ORD-2025-20184</t>
  </si>
  <si>
    <t>SHP-70220</t>
  </si>
  <si>
    <t>ORD-2025-20185</t>
  </si>
  <si>
    <t>SHP-70221</t>
  </si>
  <si>
    <t>SHP-70222</t>
  </si>
  <si>
    <t>ORD-2025-20186</t>
  </si>
  <si>
    <t>SHP-70223</t>
  </si>
  <si>
    <t>ORD-2025-20187</t>
  </si>
  <si>
    <t>SHP-70224</t>
  </si>
  <si>
    <t>ORD-2025-20188</t>
  </si>
  <si>
    <t>SHP-70225</t>
  </si>
  <si>
    <t>ORD-2025-20189</t>
  </si>
  <si>
    <t>SHP-70226</t>
  </si>
  <si>
    <t>ORD-2025-20190</t>
  </si>
  <si>
    <t>SHP-70227</t>
  </si>
  <si>
    <t>ORD-2025-20191</t>
  </si>
  <si>
    <t>SHP-70228</t>
  </si>
  <si>
    <t>ORD-2025-20192</t>
  </si>
  <si>
    <t>SHP-70229</t>
  </si>
  <si>
    <t>SHP-70230</t>
  </si>
  <si>
    <t>ORD-2025-20193</t>
  </si>
  <si>
    <t>SHP-70231</t>
  </si>
  <si>
    <t>ORD-2025-20194</t>
  </si>
  <si>
    <t>SHP-70232</t>
  </si>
  <si>
    <t>ORD-2025-20195</t>
  </si>
  <si>
    <t>SKU-STE-2401</t>
  </si>
  <si>
    <t>LOT-10472</t>
  </si>
  <si>
    <t>SHP-70233</t>
  </si>
  <si>
    <t>ORD-2025-20196</t>
  </si>
  <si>
    <t>SKU-STE-3363</t>
  </si>
  <si>
    <t>LOT-10488</t>
  </si>
  <si>
    <t>SHP-70234</t>
  </si>
  <si>
    <t>ORD-2025-20197</t>
  </si>
  <si>
    <t>SHP-70235</t>
  </si>
  <si>
    <t>ORD-2025-20198</t>
  </si>
  <si>
    <t>SKU-STE-4670</t>
  </si>
  <si>
    <t>LOT-10521</t>
  </si>
  <si>
    <t>SHP-70236</t>
  </si>
  <si>
    <t>ORD-2025-20199</t>
  </si>
  <si>
    <t>SHP-70237</t>
  </si>
  <si>
    <t>ORD-2025-20200</t>
  </si>
  <si>
    <t>SKU-STE-4657</t>
  </si>
  <si>
    <t>LOT-10539</t>
  </si>
  <si>
    <t>SHP-70238</t>
  </si>
  <si>
    <t>ORD-2025-20201</t>
  </si>
  <si>
    <t>SHP-70239</t>
  </si>
  <si>
    <t>ORD-2025-20202</t>
  </si>
  <si>
    <t>SHP-70240</t>
  </si>
  <si>
    <t>ORD-2025-20203</t>
  </si>
  <si>
    <t>SHP-70241</t>
  </si>
  <si>
    <t>ORD-2025-20204</t>
  </si>
  <si>
    <t>SHP-70242</t>
  </si>
  <si>
    <t>ORD-2025-20205</t>
  </si>
  <si>
    <t>SHP-70243</t>
  </si>
  <si>
    <t>SHP-70244</t>
  </si>
  <si>
    <t>ORD-2025-20206</t>
  </si>
  <si>
    <t>SKU-STE-2225</t>
  </si>
  <si>
    <t>LOT-10546</t>
  </si>
  <si>
    <t>SHP-70245</t>
  </si>
  <si>
    <t>ORD-2025-20207</t>
  </si>
  <si>
    <t>SKU-STE-5236</t>
  </si>
  <si>
    <t>LOT-10564</t>
  </si>
  <si>
    <t>SHP-70246</t>
  </si>
  <si>
    <t>SKU-STE-1501</t>
  </si>
  <si>
    <t>LOT-10565</t>
  </si>
  <si>
    <t>SHP-70247</t>
  </si>
  <si>
    <t>ORD-2025-20208</t>
  </si>
  <si>
    <t>SKU-ORA-5958</t>
  </si>
  <si>
    <t>LOT-10191</t>
  </si>
  <si>
    <t>SHP-70248</t>
  </si>
  <si>
    <t>ORD-2025-20209</t>
  </si>
  <si>
    <t>SHP-70249</t>
  </si>
  <si>
    <t>ORD-2025-20210</t>
  </si>
  <si>
    <t>SHP-70250</t>
  </si>
  <si>
    <t>ORD-2025-20211</t>
  </si>
  <si>
    <t>SKU-ORA-1152</t>
  </si>
  <si>
    <t>LOT-10203</t>
  </si>
  <si>
    <t>SHP-70251</t>
  </si>
  <si>
    <t>ORD-2025-20212</t>
  </si>
  <si>
    <t>SHP-70252</t>
  </si>
  <si>
    <t>ORD-2025-20213</t>
  </si>
  <si>
    <t>SKU-STE-3976</t>
  </si>
  <si>
    <t>LOT-10576</t>
  </si>
  <si>
    <t>SHP-70253</t>
  </si>
  <si>
    <t>ORD-2025-20214</t>
  </si>
  <si>
    <t>SHP-70254</t>
  </si>
  <si>
    <t>ORD-2025-20215</t>
  </si>
  <si>
    <t>SHP-70255</t>
  </si>
  <si>
    <t>ORD-2025-20216</t>
  </si>
  <si>
    <t>SHP-70256</t>
  </si>
  <si>
    <t>SHP-70257</t>
  </si>
  <si>
    <t>ORD-2025-20217</t>
  </si>
  <si>
    <t>SHP-70258</t>
  </si>
  <si>
    <t>ORD-2025-20218</t>
  </si>
  <si>
    <t>SKU-STE-6142</t>
  </si>
  <si>
    <t>LOT-10578</t>
  </si>
  <si>
    <t>SHP-70259</t>
  </si>
  <si>
    <t>ORD-2025-20219</t>
  </si>
  <si>
    <t>SHP-70260</t>
  </si>
  <si>
    <t>ORD-2025-20220</t>
  </si>
  <si>
    <t>SKU-ORA-1291</t>
  </si>
  <si>
    <t>LOT-10214</t>
  </si>
  <si>
    <t>SHP-70261</t>
  </si>
  <si>
    <t>SKU-ORA-7539</t>
  </si>
  <si>
    <t>LOT-10218</t>
  </si>
  <si>
    <t>SHP-70262</t>
  </si>
  <si>
    <t>ORD-2025-20221</t>
  </si>
  <si>
    <t>SHP-70263</t>
  </si>
  <si>
    <t>ORD-2025-20222</t>
  </si>
  <si>
    <t>SHP-70264</t>
  </si>
  <si>
    <t>ORD-2025-20223</t>
  </si>
  <si>
    <t>SHP-70265</t>
  </si>
  <si>
    <t>ORD-2025-20224</t>
  </si>
  <si>
    <t>SHP-70266</t>
  </si>
  <si>
    <t>SHP-70267</t>
  </si>
  <si>
    <t>ORD-2025-20225</t>
  </si>
  <si>
    <t>SHP-70268</t>
  </si>
  <si>
    <t>ORD-2025-20226</t>
  </si>
  <si>
    <t>SHP-70269</t>
  </si>
  <si>
    <t>ORD-2025-20227</t>
  </si>
  <si>
    <t>SHP-70270</t>
  </si>
  <si>
    <t>ORD-2025-20228</t>
  </si>
  <si>
    <t>SHP-70271</t>
  </si>
  <si>
    <t>ORD-2025-20229</t>
  </si>
  <si>
    <t>SHP-70272</t>
  </si>
  <si>
    <t>ORD-2025-20230</t>
  </si>
  <si>
    <t>SHP-70273</t>
  </si>
  <si>
    <t>ORD-2025-20231</t>
  </si>
  <si>
    <t>SHP-70274</t>
  </si>
  <si>
    <t>ORD-2025-20232</t>
  </si>
  <si>
    <t>SHP-70275</t>
  </si>
  <si>
    <t>SHP-70276</t>
  </si>
  <si>
    <t>ORD-2025-20233</t>
  </si>
  <si>
    <t>SKU-ORA-1668</t>
  </si>
  <si>
    <t>LOT-10224</t>
  </si>
  <si>
    <t>SHP-70277</t>
  </si>
  <si>
    <t>ORD-2025-20234</t>
  </si>
  <si>
    <t>SHP-70278</t>
  </si>
  <si>
    <t>ORD-2025-20235</t>
  </si>
  <si>
    <t>SHP-70279</t>
  </si>
  <si>
    <t>ORD-2025-20237</t>
  </si>
  <si>
    <t>SKU-ORA-4036</t>
  </si>
  <si>
    <t>LOT-10255</t>
  </si>
  <si>
    <t>SHP-70280</t>
  </si>
  <si>
    <t>ORD-2025-20238</t>
  </si>
  <si>
    <t>SHP-70281</t>
  </si>
  <si>
    <t>ORD-2025-20239</t>
  </si>
  <si>
    <t>SHP-70282</t>
  </si>
  <si>
    <t>ORD-2025-20240</t>
  </si>
  <si>
    <t>SKU-ORA-3580</t>
  </si>
  <si>
    <t>LOT-10261</t>
  </si>
  <si>
    <t>SHP-70283</t>
  </si>
  <si>
    <t>ORD-2025-20242</t>
  </si>
  <si>
    <t>SKU-ORA-9607</t>
  </si>
  <si>
    <t>LOT-10275</t>
  </si>
  <si>
    <t>SHP-70284</t>
  </si>
  <si>
    <t>ORD-2025-20243</t>
  </si>
  <si>
    <t>SHP-70285</t>
  </si>
  <si>
    <t>ORD-2025-20244</t>
  </si>
  <si>
    <t>SHP-70286</t>
  </si>
  <si>
    <t>ORD-2025-20245</t>
  </si>
  <si>
    <t>SHP-70287</t>
  </si>
  <si>
    <t>ORD-2025-20246</t>
  </si>
  <si>
    <t>SKU-ORA-3992</t>
  </si>
  <si>
    <t>LOT-10276</t>
  </si>
  <si>
    <t>SHP-70288</t>
  </si>
  <si>
    <t>ORD-2025-20247</t>
  </si>
  <si>
    <t>SHP-70289</t>
  </si>
  <si>
    <t>ORD-2025-20248</t>
  </si>
  <si>
    <t>SHP-70290</t>
  </si>
  <si>
    <t>ORD-2025-20249</t>
  </si>
  <si>
    <t>SHP-70291</t>
  </si>
  <si>
    <t>ORD-2025-20250</t>
  </si>
  <si>
    <t>SHP-70292</t>
  </si>
  <si>
    <t>SHP-70293</t>
  </si>
  <si>
    <t>ORD-2025-20251</t>
  </si>
  <si>
    <t>SHP-70294</t>
  </si>
  <si>
    <t>SHP-70295</t>
  </si>
  <si>
    <t>ORD-2025-20252</t>
  </si>
  <si>
    <t>SKU-ORA-1727</t>
  </si>
  <si>
    <t>LOT-10282</t>
  </si>
  <si>
    <t>SHP-70296</t>
  </si>
  <si>
    <t>ORD-2025-20253</t>
  </si>
  <si>
    <t>SHP-70297</t>
  </si>
  <si>
    <t>SHP-70298</t>
  </si>
  <si>
    <t>ORD-2025-20254</t>
  </si>
  <si>
    <t>SHP-70299</t>
  </si>
  <si>
    <t>ORD-2025-20255</t>
  </si>
  <si>
    <t>SHP-70300</t>
  </si>
  <si>
    <t>SHP-70301</t>
  </si>
  <si>
    <t>ORD-2025-20256</t>
  </si>
  <si>
    <t>SHP-70302</t>
  </si>
  <si>
    <t>ORD-2025-20257</t>
  </si>
  <si>
    <t>SHP-70303</t>
  </si>
  <si>
    <t>SHP-70304</t>
  </si>
  <si>
    <t>ORD-2025-20258</t>
  </si>
  <si>
    <t>SHP-70305</t>
  </si>
  <si>
    <t>ORD-2025-20259</t>
  </si>
  <si>
    <t>SHP-70306</t>
  </si>
  <si>
    <t>ORD-2025-20260</t>
  </si>
  <si>
    <t>SHP-70307</t>
  </si>
  <si>
    <t>ORD-2025-20261</t>
  </si>
  <si>
    <t>SHP-70308</t>
  </si>
  <si>
    <t>ORD-2025-20262</t>
  </si>
  <si>
    <t>SKU-ORA-8090</t>
  </si>
  <si>
    <t>LOT-10283</t>
  </si>
  <si>
    <t>SHP-70309</t>
  </si>
  <si>
    <t>SKU-ORA-1114</t>
  </si>
  <si>
    <t>LOT-10290</t>
  </si>
  <si>
    <t>SHP-70310</t>
  </si>
  <si>
    <t>ORD-2025-20263</t>
  </si>
  <si>
    <t>SHP-70311</t>
  </si>
  <si>
    <t>ORD-2025-20264</t>
  </si>
  <si>
    <t>SHP-70312</t>
  </si>
  <si>
    <t>SHP-70313</t>
  </si>
  <si>
    <t>ORD-2025-20265</t>
  </si>
  <si>
    <t>SHP-70314</t>
  </si>
  <si>
    <t>SHP-70315</t>
  </si>
  <si>
    <t>ORD-2025-20266</t>
  </si>
  <si>
    <t>SHP-70316</t>
  </si>
  <si>
    <t>ORD-2025-20267</t>
  </si>
  <si>
    <t>SHP-70317</t>
  </si>
  <si>
    <t>ORD-2025-20268</t>
  </si>
  <si>
    <t>SHP-70318</t>
  </si>
  <si>
    <t>ORD-2025-20269</t>
  </si>
  <si>
    <t>SHP-70319</t>
  </si>
  <si>
    <t>SHP-70320</t>
  </si>
  <si>
    <t>ORD-2025-20270</t>
  </si>
  <si>
    <t>SKU-ORA-9059</t>
  </si>
  <si>
    <t>LOT-10292</t>
  </si>
  <si>
    <t>SHP-70321</t>
  </si>
  <si>
    <t>ORD-2025-20271</t>
  </si>
  <si>
    <t>SHP-70322</t>
  </si>
  <si>
    <t>SHP-70323</t>
  </si>
  <si>
    <t>ORD-2025-20272</t>
  </si>
  <si>
    <t>SHP-70324</t>
  </si>
  <si>
    <t>SHP-70325</t>
  </si>
  <si>
    <t>ORD-2025-20273</t>
  </si>
  <si>
    <t>SHP-70326</t>
  </si>
  <si>
    <t>SHP-70327</t>
  </si>
  <si>
    <t>ORD-2025-20274</t>
  </si>
  <si>
    <t>SHP-70328</t>
  </si>
  <si>
    <t>SHP-70329</t>
  </si>
  <si>
    <t>ORD-2025-20275</t>
  </si>
  <si>
    <t>SHP-70330</t>
  </si>
  <si>
    <t>ORD-2025-20276</t>
  </si>
  <si>
    <t>SHP-70331</t>
  </si>
  <si>
    <t>ORD-2025-20277</t>
  </si>
  <si>
    <t>SHP-70332</t>
  </si>
  <si>
    <t>SHP-70333</t>
  </si>
  <si>
    <t>ORD-2025-20278</t>
  </si>
  <si>
    <t>SKU-ORA-1501</t>
  </si>
  <si>
    <t>LOT-10294</t>
  </si>
  <si>
    <t>SHP-70334</t>
  </si>
  <si>
    <t>ORD-2025-20279</t>
  </si>
  <si>
    <t>SHP-70335</t>
  </si>
  <si>
    <t>ORD-2025-20280</t>
  </si>
  <si>
    <t>SHP-70336</t>
  </si>
  <si>
    <t>ORD-2025-20281</t>
  </si>
  <si>
    <t>SKU-ORA-3197</t>
  </si>
  <si>
    <t>LOT-10303</t>
  </si>
  <si>
    <t>SHP-70337</t>
  </si>
  <si>
    <t>ORD-2025-20282</t>
  </si>
  <si>
    <t>SHP-70338</t>
  </si>
  <si>
    <t>ORD-2025-20283</t>
  </si>
  <si>
    <t>SHP-70339</t>
  </si>
  <si>
    <t>ORD-2025-20284</t>
  </si>
  <si>
    <t>SHP-70340</t>
  </si>
  <si>
    <t>ORD-2025-20285</t>
  </si>
  <si>
    <t>SHP-70341</t>
  </si>
  <si>
    <t>ORD-2025-20286</t>
  </si>
  <si>
    <t>SHP-70342</t>
  </si>
  <si>
    <t>ORD-2025-20287</t>
  </si>
  <si>
    <t>SHP-70343</t>
  </si>
  <si>
    <t>ORD-2025-20288</t>
  </si>
  <si>
    <t>SHP-70344</t>
  </si>
  <si>
    <t>ORD-2025-20289</t>
  </si>
  <si>
    <t>SHP-70345</t>
  </si>
  <si>
    <t>ORD-2025-20290</t>
  </si>
  <si>
    <t>SHP-70346</t>
  </si>
  <si>
    <t>ORD-2025-20291</t>
  </si>
  <si>
    <t>SHP-70347</t>
  </si>
  <si>
    <t>SHP-70348</t>
  </si>
  <si>
    <t>ORD-2025-20292</t>
  </si>
  <si>
    <t>SKU-ORA-7935</t>
  </si>
  <si>
    <t>LOT-10304</t>
  </si>
  <si>
    <t>SHP-70349</t>
  </si>
  <si>
    <t>ORD-2025-20293</t>
  </si>
  <si>
    <t>SHP-70350</t>
  </si>
  <si>
    <t>ORD-2025-20294</t>
  </si>
  <si>
    <t>SHP-70351</t>
  </si>
  <si>
    <t>ORD-2025-20296</t>
  </si>
  <si>
    <t>SHP-70352</t>
  </si>
  <si>
    <t>ORD-2025-20297</t>
  </si>
  <si>
    <t>SHP-70353</t>
  </si>
  <si>
    <t>ORD-2025-20298</t>
  </si>
  <si>
    <t>SHP-70354</t>
  </si>
  <si>
    <t>ORD-2025-20299</t>
  </si>
  <si>
    <t>SHP-70355</t>
  </si>
  <si>
    <t>ORD-2025-20300</t>
  </si>
  <si>
    <t>SHP-70356</t>
  </si>
  <si>
    <t>SHP-70357</t>
  </si>
  <si>
    <t>ORD-2025-20301</t>
  </si>
  <si>
    <t>SHP-70358</t>
  </si>
  <si>
    <t>ORD-2025-20302</t>
  </si>
  <si>
    <t>SHP-70359</t>
  </si>
  <si>
    <t>ORD-2025-20303</t>
  </si>
  <si>
    <t>SKU-ORA-2233</t>
  </si>
  <si>
    <t>LOT-10307</t>
  </si>
  <si>
    <t>SHP-70360</t>
  </si>
  <si>
    <t>ORD-2025-20304</t>
  </si>
  <si>
    <t>SHP-70361</t>
  </si>
  <si>
    <t>ORD-2025-20305</t>
  </si>
  <si>
    <t>SKU-ORA-1643</t>
  </si>
  <si>
    <t>LOT-10310</t>
  </si>
  <si>
    <t>SHP-70362</t>
  </si>
  <si>
    <t>SKU-ORA-6406</t>
  </si>
  <si>
    <t>LOT-10326</t>
  </si>
  <si>
    <t>SHP-70363</t>
  </si>
  <si>
    <t>ORD-2025-20306</t>
  </si>
  <si>
    <t>SHP-70364</t>
  </si>
  <si>
    <t>ORD-2025-20307</t>
  </si>
  <si>
    <t>SHP-70365</t>
  </si>
  <si>
    <t>ORD-2025-20308</t>
  </si>
  <si>
    <t>SHP-70366</t>
  </si>
  <si>
    <t>SHP-70367</t>
  </si>
  <si>
    <t>ORD-2025-20309</t>
  </si>
  <si>
    <t>SHP-70368</t>
  </si>
  <si>
    <t>ORD-2025-20310</t>
  </si>
  <si>
    <t>SHP-70369</t>
  </si>
  <si>
    <t>ORD-2025-20311</t>
  </si>
  <si>
    <t>SKU-ORA-2827</t>
  </si>
  <si>
    <t>LOT-10342</t>
  </si>
  <si>
    <t>SHP-70370</t>
  </si>
  <si>
    <t>SKU-ORA-8857</t>
  </si>
  <si>
    <t>LOT-10347</t>
  </si>
  <si>
    <t>SHP-70371</t>
  </si>
  <si>
    <t>ORD-2025-20312</t>
  </si>
  <si>
    <t>SHP-70372</t>
  </si>
  <si>
    <t>ORD-2025-20313</t>
  </si>
  <si>
    <t>SHP-70373</t>
  </si>
  <si>
    <t>ORD-2025-20314</t>
  </si>
  <si>
    <t>SHP-70374</t>
  </si>
  <si>
    <t>SHP-70375</t>
  </si>
  <si>
    <t>ORD-2025-20315</t>
  </si>
  <si>
    <t>SHP-70376</t>
  </si>
  <si>
    <t>ORD-2025-20316</t>
  </si>
  <si>
    <t>SHP-70377</t>
  </si>
  <si>
    <t>SHP-70378</t>
  </si>
  <si>
    <t>ORD-2025-20317</t>
  </si>
  <si>
    <t>SKU-ORA-5663</t>
  </si>
  <si>
    <t>LOT-10352</t>
  </si>
  <si>
    <t>SHP-70379</t>
  </si>
  <si>
    <t>ORD-2025-20318</t>
  </si>
  <si>
    <t>SKU-ORA-6390</t>
  </si>
  <si>
    <t>LOT-10360</t>
  </si>
  <si>
    <t>SHP-70380</t>
  </si>
  <si>
    <t>ORD-2025-20319</t>
  </si>
  <si>
    <t>SKU-ORA-5497</t>
  </si>
  <si>
    <t>LOT-10380</t>
  </si>
  <si>
    <t>SHP-70381</t>
  </si>
  <si>
    <t>ORD-2025-20320</t>
  </si>
  <si>
    <t>SHP-70382</t>
  </si>
  <si>
    <t>ORD-2025-20321</t>
  </si>
  <si>
    <t>SKU-ORA-2708</t>
  </si>
  <si>
    <t>LOT-10383</t>
  </si>
  <si>
    <t>SHP-70383</t>
  </si>
  <si>
    <t>ORD-2025-20322</t>
  </si>
  <si>
    <t>SHP-70384</t>
  </si>
  <si>
    <t>ORD-2025-20323</t>
  </si>
  <si>
    <t>SHP-70385</t>
  </si>
  <si>
    <t>ORD-2025-20324</t>
  </si>
  <si>
    <t>SHP-70386</t>
  </si>
  <si>
    <t>SHP-70387</t>
  </si>
  <si>
    <t>ORD-2025-20325</t>
  </si>
  <si>
    <t>SHP-70388</t>
  </si>
  <si>
    <t>ORD-2025-20326</t>
  </si>
  <si>
    <t>SHP-70389</t>
  </si>
  <si>
    <t>ORD-2025-20327</t>
  </si>
  <si>
    <t>SHP-70390</t>
  </si>
  <si>
    <t>SHP-70391</t>
  </si>
  <si>
    <t>ORD-2025-20328</t>
  </si>
  <si>
    <t>SHP-70392</t>
  </si>
  <si>
    <t>ORD-2025-20329</t>
  </si>
  <si>
    <t>SHP-70393</t>
  </si>
  <si>
    <t>ORD-2025-20330</t>
  </si>
  <si>
    <t>SHP-70394</t>
  </si>
  <si>
    <t>ORD-2025-20331</t>
  </si>
  <si>
    <t>SHP-70395</t>
  </si>
  <si>
    <t>SHP-70396</t>
  </si>
  <si>
    <t>ORD-2025-20332</t>
  </si>
  <si>
    <t>SHP-70397</t>
  </si>
  <si>
    <t>ORD-2025-20333</t>
  </si>
  <si>
    <t>SHP-70398</t>
  </si>
  <si>
    <t>ORD-2025-20334</t>
  </si>
  <si>
    <t>SHP-70399</t>
  </si>
  <si>
    <t>ORD-2025-20335</t>
  </si>
  <si>
    <t>SHP-70400</t>
  </si>
  <si>
    <t>SHP-70401</t>
  </si>
  <si>
    <t>ORD-2025-20336</t>
  </si>
  <si>
    <t>SKU-ORA-9196</t>
  </si>
  <si>
    <t>LOT-10384</t>
  </si>
  <si>
    <t>SHP-70402</t>
  </si>
  <si>
    <t>ORD-2025-20337</t>
  </si>
  <si>
    <t>SKU-ORA-2971</t>
  </si>
  <si>
    <t>LOT-10388</t>
  </si>
  <si>
    <t>SHP-70403</t>
  </si>
  <si>
    <t>ORD-2025-20338</t>
  </si>
  <si>
    <t>SHP-70404</t>
  </si>
  <si>
    <t>ORD-2025-20339</t>
  </si>
  <si>
    <t>SHP-70405</t>
  </si>
  <si>
    <t>ORD-2025-20340</t>
  </si>
  <si>
    <t>SHP-70406</t>
  </si>
  <si>
    <t>ORD-2025-20341</t>
  </si>
  <si>
    <t>SHP-70407</t>
  </si>
  <si>
    <t>ORD-2025-20342</t>
  </si>
  <si>
    <t>SHP-70408</t>
  </si>
  <si>
    <t>ORD-2025-20343</t>
  </si>
  <si>
    <t>SHP-70409</t>
  </si>
  <si>
    <t>ORD-2025-20344</t>
  </si>
  <si>
    <t>SHP-70410</t>
  </si>
  <si>
    <t>ORD-2025-20345</t>
  </si>
  <si>
    <t>SHP-70411</t>
  </si>
  <si>
    <t>ORD-2025-20346</t>
  </si>
  <si>
    <t>SHP-70412</t>
  </si>
  <si>
    <t>ORD-2025-20347</t>
  </si>
  <si>
    <t>SHP-70413</t>
  </si>
  <si>
    <t>ORD-2025-20348</t>
  </si>
  <si>
    <t>SHP-70414</t>
  </si>
  <si>
    <t>ORD-2025-20349</t>
  </si>
  <si>
    <t>SKU-ORA-9240</t>
  </si>
  <si>
    <t>LOT-10395</t>
  </si>
  <si>
    <t>SHP-70415</t>
  </si>
  <si>
    <t>ORD-2025-20350</t>
  </si>
  <si>
    <t>SHP-70416</t>
  </si>
  <si>
    <t>ORD-2025-20351</t>
  </si>
  <si>
    <t>SHP-70417</t>
  </si>
  <si>
    <t>ORD-2025-20352</t>
  </si>
  <si>
    <t>SKU-ORA-2141</t>
  </si>
  <si>
    <t>LOT-10396</t>
  </si>
  <si>
    <t>SHP-70418</t>
  </si>
  <si>
    <t>ORD-2025-20353</t>
  </si>
  <si>
    <t>SHP-70419</t>
  </si>
  <si>
    <t>ORD-2025-20354</t>
  </si>
  <si>
    <t>SHP-70420</t>
  </si>
  <si>
    <t>ORD-2025-20355</t>
  </si>
  <si>
    <t>SHP-70421</t>
  </si>
  <si>
    <t>ORD-2025-20356</t>
  </si>
  <si>
    <t>SHP-70422</t>
  </si>
  <si>
    <t>ORD-2025-20357</t>
  </si>
  <si>
    <t>SHP-70423</t>
  </si>
  <si>
    <t>ORD-2025-20358</t>
  </si>
  <si>
    <t>SHP-70424</t>
  </si>
  <si>
    <t>ORD-2025-20359</t>
  </si>
  <si>
    <t>SHP-70425</t>
  </si>
  <si>
    <t>SHP-70426</t>
  </si>
  <si>
    <t>ORD-2025-20360</t>
  </si>
  <si>
    <t>SHP-70427</t>
  </si>
  <si>
    <t>ORD-2025-20361</t>
  </si>
  <si>
    <t>SKU-ORA-8813</t>
  </si>
  <si>
    <t>LOT-10399</t>
  </si>
  <si>
    <t>SHP-70428</t>
  </si>
  <si>
    <t>ORD-2025-20362</t>
  </si>
  <si>
    <t>SHP-70429</t>
  </si>
  <si>
    <t>ORD-2025-20363</t>
  </si>
  <si>
    <t>SKU-ORA-2516</t>
  </si>
  <si>
    <t>LOT-10420</t>
  </si>
  <si>
    <t>SHP-70430</t>
  </si>
  <si>
    <t>ORD-2025-20364</t>
  </si>
  <si>
    <t>SHP-70431</t>
  </si>
  <si>
    <t>ORD-2025-20365</t>
  </si>
  <si>
    <t>SHP-70432</t>
  </si>
  <si>
    <t>SHP-70433</t>
  </si>
  <si>
    <t>ORD-2025-20366</t>
  </si>
  <si>
    <t>SHP-70434</t>
  </si>
  <si>
    <t>ORD-2025-20367</t>
  </si>
  <si>
    <t>SHP-70435</t>
  </si>
  <si>
    <t>ORD-2025-20368</t>
  </si>
  <si>
    <t>SHP-70436</t>
  </si>
  <si>
    <t>ORD-2025-20369</t>
  </si>
  <si>
    <t>SHP-70437</t>
  </si>
  <si>
    <t>ORD-2025-20370</t>
  </si>
  <si>
    <t>SHP-70438</t>
  </si>
  <si>
    <t>ORD-2025-20371</t>
  </si>
  <si>
    <t>SHP-70439</t>
  </si>
  <si>
    <t>ORD-2025-20372</t>
  </si>
  <si>
    <t>SHP-70440</t>
  </si>
  <si>
    <t>ORD-2025-20373</t>
  </si>
  <si>
    <t>SKU-ORA-2816</t>
  </si>
  <si>
    <t>LOT-10422</t>
  </si>
  <si>
    <t>SHP-70441</t>
  </si>
  <si>
    <t>ORD-2025-20374</t>
  </si>
  <si>
    <t>SHP-70442</t>
  </si>
  <si>
    <t>ORD-2025-20375</t>
  </si>
  <si>
    <t>SHP-70443</t>
  </si>
  <si>
    <t>ORD-2025-20376</t>
  </si>
  <si>
    <t>SHP-70444</t>
  </si>
  <si>
    <t>ORD-2025-20377</t>
  </si>
  <si>
    <t>SHP-70445</t>
  </si>
  <si>
    <t>ORD-2025-20378</t>
  </si>
  <si>
    <t>SHP-70446</t>
  </si>
  <si>
    <t>SHP-70447</t>
  </si>
  <si>
    <t>ORD-2025-20379</t>
  </si>
  <si>
    <t>SKU-ORA-1992</t>
  </si>
  <si>
    <t>LOT-10424</t>
  </si>
  <si>
    <t>SHP-70448</t>
  </si>
  <si>
    <t>ORD-2025-20380</t>
  </si>
  <si>
    <t>SKU-ORA-9184</t>
  </si>
  <si>
    <t>LOT-10430</t>
  </si>
  <si>
    <t>SHP-70449</t>
  </si>
  <si>
    <t>ORD-2025-20381</t>
  </si>
  <si>
    <t>SHP-70450</t>
  </si>
  <si>
    <t>ORD-2025-20382</t>
  </si>
  <si>
    <t>SHP-70451</t>
  </si>
  <si>
    <t>ORD-2025-20383</t>
  </si>
  <si>
    <t>SHP-70452</t>
  </si>
  <si>
    <t>ORD-2025-20384</t>
  </si>
  <si>
    <t>SHP-70453</t>
  </si>
  <si>
    <t>ORD-2025-20385</t>
  </si>
  <si>
    <t>SHP-70454</t>
  </si>
  <si>
    <t>ORD-2025-20386</t>
  </si>
  <si>
    <t>SKU-ORA-3023</t>
  </si>
  <si>
    <t>LOT-10431</t>
  </si>
  <si>
    <t>SHP-70455</t>
  </si>
  <si>
    <t>ORD-2025-20387</t>
  </si>
  <si>
    <t>SHP-70456</t>
  </si>
  <si>
    <t>ORD-2025-20388</t>
  </si>
  <si>
    <t>SHP-70457</t>
  </si>
  <si>
    <t>ORD-2025-20389</t>
  </si>
  <si>
    <t>SHP-70458</t>
  </si>
  <si>
    <t>ORD-2025-20390</t>
  </si>
  <si>
    <t>SHP-70459</t>
  </si>
  <si>
    <t>ORD-2025-20391</t>
  </si>
  <si>
    <t>SKU-ORA-2782</t>
  </si>
  <si>
    <t>LOT-10434</t>
  </si>
  <si>
    <t>SHP-70460</t>
  </si>
  <si>
    <t>ORD-2025-20392</t>
  </si>
  <si>
    <t>SHP-70461</t>
  </si>
  <si>
    <t>ORD-2025-20393</t>
  </si>
  <si>
    <t>SHP-70462</t>
  </si>
  <si>
    <t>ORD-2025-20394</t>
  </si>
  <si>
    <t>SHP-70463</t>
  </si>
  <si>
    <t>SHP-70464</t>
  </si>
  <si>
    <t>ORD-2025-20395</t>
  </si>
  <si>
    <t>SHP-70465</t>
  </si>
  <si>
    <t>ORD-2025-20396</t>
  </si>
  <si>
    <t>SHP-70466</t>
  </si>
  <si>
    <t>ORD-2025-20397</t>
  </si>
  <si>
    <t>SHP-70467</t>
  </si>
  <si>
    <t>ORD-2025-20398</t>
  </si>
  <si>
    <t>SHP-70468</t>
  </si>
  <si>
    <t>ORD-2025-20399</t>
  </si>
  <si>
    <t>SHP-70469</t>
  </si>
  <si>
    <t>ORD-2025-20400</t>
  </si>
  <si>
    <t>SHP-70470</t>
  </si>
  <si>
    <t>ORD-2025-20401</t>
  </si>
  <si>
    <t>SHP-70471</t>
  </si>
  <si>
    <t>ORD-2025-20402</t>
  </si>
  <si>
    <t>SHP-70472</t>
  </si>
  <si>
    <t>SHP-70473</t>
  </si>
  <si>
    <t>ORD-2025-20403</t>
  </si>
  <si>
    <t>SHP-70474</t>
  </si>
  <si>
    <t>ORD-2025-20404</t>
  </si>
  <si>
    <t>SHP-70475</t>
  </si>
  <si>
    <t>SHP-70476</t>
  </si>
  <si>
    <t>ORD-2025-20405</t>
  </si>
  <si>
    <t>SHP-70477</t>
  </si>
  <si>
    <t>ORD-2025-20406</t>
  </si>
  <si>
    <t>SHP-70478</t>
  </si>
  <si>
    <t>ORD-2025-20407</t>
  </si>
  <si>
    <t>SHP-70479</t>
  </si>
  <si>
    <t>ORD-2025-20408</t>
  </si>
  <si>
    <t>SHP-70480</t>
  </si>
  <si>
    <t>SHP-70481</t>
  </si>
  <si>
    <t>ORD-2025-20409</t>
  </si>
  <si>
    <t>SHP-70482</t>
  </si>
  <si>
    <t>SHP-70483</t>
  </si>
  <si>
    <t>ORD-2025-20410</t>
  </si>
  <si>
    <t>SHP-70484</t>
  </si>
  <si>
    <t>ORD-2025-20411</t>
  </si>
  <si>
    <t>SHP-70485</t>
  </si>
  <si>
    <t>ORD-2025-20412</t>
  </si>
  <si>
    <t>SHP-70486</t>
  </si>
  <si>
    <t>ORD-2025-20413</t>
  </si>
  <si>
    <t>SHP-70487</t>
  </si>
  <si>
    <t>ORD-2025-20414</t>
  </si>
  <si>
    <t>SHP-70488</t>
  </si>
  <si>
    <t>ORD-2025-20415</t>
  </si>
  <si>
    <t>SHP-70489</t>
  </si>
  <si>
    <t>ORD-2025-20416</t>
  </si>
  <si>
    <t>SHP-70490</t>
  </si>
  <si>
    <t>ORD-2025-20417</t>
  </si>
  <si>
    <t>SHP-70491</t>
  </si>
  <si>
    <t>ORD-2025-20418</t>
  </si>
  <si>
    <t>SHP-70492</t>
  </si>
  <si>
    <t>ORD-2025-20419</t>
  </si>
  <si>
    <t>SHP-70493</t>
  </si>
  <si>
    <t>ORD-2025-20420</t>
  </si>
  <si>
    <t>SHP-70494</t>
  </si>
  <si>
    <t>ORD-2025-20421</t>
  </si>
  <si>
    <t>SHP-70495</t>
  </si>
  <si>
    <t>SHP-70496</t>
  </si>
  <si>
    <t>ORD-2025-20422</t>
  </si>
  <si>
    <t>SHP-70497</t>
  </si>
  <si>
    <t>ORD-2025-20423</t>
  </si>
  <si>
    <t>SHP-70498</t>
  </si>
  <si>
    <t>ORD-2025-20424</t>
  </si>
  <si>
    <t>SHP-70499</t>
  </si>
  <si>
    <t>ORD-2025-20426</t>
  </si>
  <si>
    <t>SHP-70500</t>
  </si>
  <si>
    <t>ORD-2025-20427</t>
  </si>
  <si>
    <t>SHP-70501</t>
  </si>
  <si>
    <t>ORD-2025-20428</t>
  </si>
  <si>
    <t>SHP-70502</t>
  </si>
  <si>
    <t>ORD-2025-20429</t>
  </si>
  <si>
    <t>SHP-70503</t>
  </si>
  <si>
    <t>ORD-2025-20430</t>
  </si>
  <si>
    <t>SHP-70504</t>
  </si>
  <si>
    <t>ORD-2025-20431</t>
  </si>
  <si>
    <t>SHP-70505</t>
  </si>
  <si>
    <t>SHP-70506</t>
  </si>
  <si>
    <t>ORD-2025-20432</t>
  </si>
  <si>
    <t>SHP-70507</t>
  </si>
  <si>
    <t>ORD-2025-20433</t>
  </si>
  <si>
    <t>SHP-70508</t>
  </si>
  <si>
    <t>ORD-2025-20434</t>
  </si>
  <si>
    <t>SHP-70509</t>
  </si>
  <si>
    <t>ORD-2025-20435</t>
  </si>
  <si>
    <t>SHP-70510</t>
  </si>
  <si>
    <t>ORD-2025-20436</t>
  </si>
  <si>
    <t>SHP-70511</t>
  </si>
  <si>
    <t>ORD-2025-20437</t>
  </si>
  <si>
    <t>SHP-70512</t>
  </si>
  <si>
    <t>SHP-70513</t>
  </si>
  <si>
    <t>ORD-2025-20438</t>
  </si>
  <si>
    <t>SHP-70514</t>
  </si>
  <si>
    <t>SHP-70515</t>
  </si>
  <si>
    <t>ORD-2025-20439</t>
  </si>
  <si>
    <t>SHP-70516</t>
  </si>
  <si>
    <t>ORD-2025-20440</t>
  </si>
  <si>
    <t>SHP-70517</t>
  </si>
  <si>
    <t>ORD-2025-20441</t>
  </si>
  <si>
    <t>SKU-ORA-2823</t>
  </si>
  <si>
    <t>LOT-10438</t>
  </si>
  <si>
    <t>SHP-70518</t>
  </si>
  <si>
    <t>ORD-2025-20442</t>
  </si>
  <si>
    <t>SHP-70519</t>
  </si>
  <si>
    <t>ORD-2025-20443</t>
  </si>
  <si>
    <t>SHP-70520</t>
  </si>
  <si>
    <t>ORD-2025-20444</t>
  </si>
  <si>
    <t>SKU-ORA-5494</t>
  </si>
  <si>
    <t>LOT-10459</t>
  </si>
  <si>
    <t>SHP-70521</t>
  </si>
  <si>
    <t>ORD-2025-20445</t>
  </si>
  <si>
    <t>SHP-70522</t>
  </si>
  <si>
    <t>ORD-2025-20446</t>
  </si>
  <si>
    <t>SHP-70523</t>
  </si>
  <si>
    <t>ORD-2025-20447</t>
  </si>
  <si>
    <t>SHP-70524</t>
  </si>
  <si>
    <t>ORD-2025-20448</t>
  </si>
  <si>
    <t>SHP-70525</t>
  </si>
  <si>
    <t>ORD-2025-20449</t>
  </si>
  <si>
    <t>SHP-70526</t>
  </si>
  <si>
    <t>ORD-2025-20450</t>
  </si>
  <si>
    <t>SHP-70527</t>
  </si>
  <si>
    <t>ORD-2025-20451</t>
  </si>
  <si>
    <t>SHP-70528</t>
  </si>
  <si>
    <t>SHP-70529</t>
  </si>
  <si>
    <t>ORD-2025-20452</t>
  </si>
  <si>
    <t>SKU-ORA-1598</t>
  </si>
  <si>
    <t>LOT-10471</t>
  </si>
  <si>
    <t>SHP-70530</t>
  </si>
  <si>
    <t>ORD-2025-20453</t>
  </si>
  <si>
    <t>SHP-70531</t>
  </si>
  <si>
    <t>SHP-70532</t>
  </si>
  <si>
    <t>ORD-2025-20454</t>
  </si>
  <si>
    <t>SHP-70533</t>
  </si>
  <si>
    <t>ORD-2025-20455</t>
  </si>
  <si>
    <t>SHP-70534</t>
  </si>
  <si>
    <t>ORD-2025-20456</t>
  </si>
  <si>
    <t>SHP-70535</t>
  </si>
  <si>
    <t>ORD-2025-20457</t>
  </si>
  <si>
    <t>SHP-70536</t>
  </si>
  <si>
    <t>SHP-70537</t>
  </si>
  <si>
    <t>ORD-2025-20458</t>
  </si>
  <si>
    <t>SHP-70538</t>
  </si>
  <si>
    <t>ORD-2025-20459</t>
  </si>
  <si>
    <t>SHP-70539</t>
  </si>
  <si>
    <t>ORD-2025-20460</t>
  </si>
  <si>
    <t>SHP-70540</t>
  </si>
  <si>
    <t>ORD-2025-20461</t>
  </si>
  <si>
    <t>SHP-70541</t>
  </si>
  <si>
    <t>ORD-2025-20462</t>
  </si>
  <si>
    <t>SHP-70542</t>
  </si>
  <si>
    <t>SHP-70543</t>
  </si>
  <si>
    <t>ORD-2025-20463</t>
  </si>
  <si>
    <t>SKU-ORA-5176</t>
  </si>
  <si>
    <t>LOT-10482</t>
  </si>
  <si>
    <t>SHP-70544</t>
  </si>
  <si>
    <t>ORD-2025-20464</t>
  </si>
  <si>
    <t>SHP-70545</t>
  </si>
  <si>
    <t>SHP-70546</t>
  </si>
  <si>
    <t>ORD-2025-20465</t>
  </si>
  <si>
    <t>SHP-70547</t>
  </si>
  <si>
    <t>ORD-2025-20466</t>
  </si>
  <si>
    <t>SHP-90002</t>
  </si>
  <si>
    <t>ORD-2025-20501</t>
  </si>
  <si>
    <t>SKU-ORA-6285</t>
  </si>
  <si>
    <t>LOT-10076</t>
  </si>
  <si>
    <t>SHP-70548</t>
  </si>
  <si>
    <t>ORD-2025-20467</t>
  </si>
  <si>
    <t>SHP-70549</t>
  </si>
  <si>
    <t>ORD-2025-20468</t>
  </si>
  <si>
    <t>SHP-70550</t>
  </si>
  <si>
    <t>SHP-70551</t>
  </si>
  <si>
    <t>ORD-2025-20469</t>
  </si>
  <si>
    <t>SHP-70552</t>
  </si>
  <si>
    <t>ORD-2025-20470</t>
  </si>
  <si>
    <t>SHP-70553</t>
  </si>
  <si>
    <t>ORD-2025-20471</t>
  </si>
  <si>
    <t>SKU-ORA-3846</t>
  </si>
  <si>
    <t>LOT-10486</t>
  </si>
  <si>
    <t>SHP-70554</t>
  </si>
  <si>
    <t>ORD-2025-20472</t>
  </si>
  <si>
    <t>SHP-70555</t>
  </si>
  <si>
    <t>ORD-2025-20473</t>
  </si>
  <si>
    <t>SHP-70556</t>
  </si>
  <si>
    <t>ORD-2025-20474</t>
  </si>
  <si>
    <t>SHP-70557</t>
  </si>
  <si>
    <t>SHP-70558</t>
  </si>
  <si>
    <t>ORD-2025-20475</t>
  </si>
  <si>
    <t>SHP-70559</t>
  </si>
  <si>
    <t>SHP-70560</t>
  </si>
  <si>
    <t>ORD-2025-20476</t>
  </si>
  <si>
    <t>SHP-70561</t>
  </si>
  <si>
    <t>ORD-2025-20477</t>
  </si>
  <si>
    <t>SKU-ORA-8836</t>
  </si>
  <si>
    <t>LOT-10490</t>
  </si>
  <si>
    <t>SHP-70562</t>
  </si>
  <si>
    <t>SKU-ORA-6814</t>
  </si>
  <si>
    <t>LOT-10495</t>
  </si>
  <si>
    <t>SHP-70563</t>
  </si>
  <si>
    <t>ORD-2025-20478</t>
  </si>
  <si>
    <t>SKU-ORA-4822</t>
  </si>
  <si>
    <t>LOT-10508</t>
  </si>
  <si>
    <t>SHP-70564</t>
  </si>
  <si>
    <t>ORD-2025-20479</t>
  </si>
  <si>
    <t>SHP-90001</t>
  </si>
  <si>
    <t>ORD-2025-20500</t>
  </si>
  <si>
    <t>SKU-NUT-2175</t>
  </si>
  <si>
    <t>LOT-10450</t>
  </si>
  <si>
    <t>SHP-70565</t>
  </si>
  <si>
    <t>SHP-70566</t>
  </si>
  <si>
    <t>ORD-2025-20480</t>
  </si>
  <si>
    <t>SHP-90004</t>
  </si>
  <si>
    <t>ORD-2025-20503</t>
  </si>
  <si>
    <t>SKU-ORA-0014</t>
  </si>
  <si>
    <t>LOT-10522</t>
  </si>
  <si>
    <t>SHP-70567</t>
  </si>
  <si>
    <t>ORD-2025-20481</t>
  </si>
  <si>
    <t>SHP-70568</t>
  </si>
  <si>
    <t>ORD-2025-20482</t>
  </si>
  <si>
    <t>SHP-70569</t>
  </si>
  <si>
    <t>ORD-2025-20483</t>
  </si>
  <si>
    <t>SKU-ORA-3817</t>
  </si>
  <si>
    <t>LOT-10510</t>
  </si>
  <si>
    <t>SHP-70570</t>
  </si>
  <si>
    <t>ORD-2025-20484</t>
  </si>
  <si>
    <t>SHP-70571</t>
  </si>
  <si>
    <t>ORD-2025-20485</t>
  </si>
  <si>
    <t>SHP-70572</t>
  </si>
  <si>
    <t>ORD-2025-20486</t>
  </si>
  <si>
    <t>SHP-70573</t>
  </si>
  <si>
    <t>ORD-2025-20487</t>
  </si>
  <si>
    <t>SHP-70574</t>
  </si>
  <si>
    <t>ORD-2025-20488</t>
  </si>
  <si>
    <t>SHP-70575</t>
  </si>
  <si>
    <t>ORD-2025-20489</t>
  </si>
  <si>
    <t>SHP-70576</t>
  </si>
  <si>
    <t>ORD-2025-20490</t>
  </si>
  <si>
    <t>SKU-ORA-4076</t>
  </si>
  <si>
    <t>LOT-10513</t>
  </si>
  <si>
    <t>SHP-70577</t>
  </si>
  <si>
    <t>ORD-2025-20491</t>
  </si>
  <si>
    <t>SHP-70578</t>
  </si>
  <si>
    <t>ORD-2025-20492</t>
  </si>
  <si>
    <t>SHP-70579</t>
  </si>
  <si>
    <t>SHP-70580</t>
  </si>
  <si>
    <t>ORD-2025-20493</t>
  </si>
  <si>
    <t>SHP-70581</t>
  </si>
  <si>
    <t>ORD-2025-20494</t>
  </si>
  <si>
    <t>SKU-ORA-6233</t>
  </si>
  <si>
    <t>LOT-10518</t>
  </si>
  <si>
    <t>SHP-70582</t>
  </si>
  <si>
    <t>ORD-2025-20495</t>
  </si>
  <si>
    <t>SHP-70583</t>
  </si>
  <si>
    <t>SHP-70584</t>
  </si>
  <si>
    <t>ORD-2025-20496</t>
  </si>
  <si>
    <t>SHP-70585</t>
  </si>
  <si>
    <t>ORD-2025-20497</t>
  </si>
  <si>
    <t>SHP-70586</t>
  </si>
  <si>
    <t>ORD-2025-20498</t>
  </si>
  <si>
    <t>SHP-70587</t>
  </si>
  <si>
    <t>ORD-2025-20499</t>
  </si>
  <si>
    <t>SHP-90003</t>
  </si>
  <si>
    <t>ORD-2025-20502</t>
  </si>
  <si>
    <t>SKU-STE-8060</t>
  </si>
  <si>
    <t>LOT-10365</t>
  </si>
  <si>
    <t>INV-S-1001</t>
  </si>
  <si>
    <t>ORD-2025-20005</t>
  </si>
  <si>
    <t>Multivit Complex</t>
  </si>
  <si>
    <t>FOB Destination</t>
  </si>
  <si>
    <t>Q4 2025</t>
  </si>
  <si>
    <t>INV-S-1002</t>
  </si>
  <si>
    <t>ORD-2025-20010</t>
  </si>
  <si>
    <t>Reagents (2 lines)</t>
  </si>
  <si>
    <t>FOB Shipping Point</t>
  </si>
  <si>
    <t>INV-S-1003</t>
  </si>
  <si>
    <t>ORD-2025-20012</t>
  </si>
  <si>
    <t>Ondansetron Inj</t>
  </si>
  <si>
    <t>INV-S-1004</t>
  </si>
  <si>
    <t>ORD-2025-20013</t>
  </si>
  <si>
    <t>Diagnostic Kits (2 lines)</t>
  </si>
  <si>
    <t>Order_Date</t>
  </si>
  <si>
    <t>Customer</t>
  </si>
  <si>
    <t>Product_Line</t>
  </si>
  <si>
    <t>Qty_Ordered</t>
  </si>
  <si>
    <t>Order_Value ($)</t>
  </si>
  <si>
    <t>PO_Number</t>
  </si>
  <si>
    <t>Cardinal Care</t>
  </si>
  <si>
    <t>PO-647084</t>
  </si>
  <si>
    <t>Pinnacle Rx</t>
  </si>
  <si>
    <t>PO-501383</t>
  </si>
  <si>
    <t>Beacon Health</t>
  </si>
  <si>
    <t>PO-215524</t>
  </si>
  <si>
    <t>PO-242369</t>
  </si>
  <si>
    <t>Harborview Group</t>
  </si>
  <si>
    <t>PO-679700</t>
  </si>
  <si>
    <t>Riverside Clinics</t>
  </si>
  <si>
    <t>PO-199216</t>
  </si>
  <si>
    <t>Unity Health</t>
  </si>
  <si>
    <t>PO-157708</t>
  </si>
  <si>
    <t>Crest Wholesale</t>
  </si>
  <si>
    <t>PO-726158</t>
  </si>
  <si>
    <t>PO-684906</t>
  </si>
  <si>
    <t>PO-218878</t>
  </si>
  <si>
    <t>PO-497395</t>
  </si>
  <si>
    <t>PO-992189</t>
  </si>
  <si>
    <t>PO-912149</t>
  </si>
  <si>
    <t>PO-618554</t>
  </si>
  <si>
    <t>Vertex Distribution</t>
  </si>
  <si>
    <t>PO-597412</t>
  </si>
  <si>
    <t>Apollo Hospitals</t>
  </si>
  <si>
    <t>PO-220366</t>
  </si>
  <si>
    <t>PO-537942</t>
  </si>
  <si>
    <t>PO-256480</t>
  </si>
  <si>
    <t>PO-156096</t>
  </si>
  <si>
    <t>PO-930882</t>
  </si>
  <si>
    <t>Summit Medical</t>
  </si>
  <si>
    <t>PO-991053</t>
  </si>
  <si>
    <t>PO-662042</t>
  </si>
  <si>
    <t>PO-591284</t>
  </si>
  <si>
    <t>Lakeside Labs</t>
  </si>
  <si>
    <t>PO-312622</t>
  </si>
  <si>
    <t>Oakmont Care</t>
  </si>
  <si>
    <t>PO-359658</t>
  </si>
  <si>
    <t>PO-811308</t>
  </si>
  <si>
    <t>PO-680474</t>
  </si>
  <si>
    <t>PO-279489</t>
  </si>
  <si>
    <t>PO-479082</t>
  </si>
  <si>
    <t>PO-177347</t>
  </si>
  <si>
    <t>PO-276037</t>
  </si>
  <si>
    <t>PO-755890</t>
  </si>
  <si>
    <t>PO-651329</t>
  </si>
  <si>
    <t>PO-432739</t>
  </si>
  <si>
    <t>PO-189183</t>
  </si>
  <si>
    <t>PO-199733</t>
  </si>
  <si>
    <t>PO-443409</t>
  </si>
  <si>
    <t>Sterling Diagnostics</t>
  </si>
  <si>
    <t>PO-369257</t>
  </si>
  <si>
    <t>PO-567576</t>
  </si>
  <si>
    <t>PO-863378</t>
  </si>
  <si>
    <t>PO-600196</t>
  </si>
  <si>
    <t>PO-114052</t>
  </si>
  <si>
    <t>PO-162095</t>
  </si>
  <si>
    <t>PO-925734</t>
  </si>
  <si>
    <t>PO-612104</t>
  </si>
  <si>
    <t>PO-830390</t>
  </si>
  <si>
    <t>PO-720201</t>
  </si>
  <si>
    <t>PO-277030</t>
  </si>
  <si>
    <t>PO-332738</t>
  </si>
  <si>
    <t>PO-615659</t>
  </si>
  <si>
    <t>Northwind Supply</t>
  </si>
  <si>
    <t>PO-346353</t>
  </si>
  <si>
    <t>Greenfield Pharma</t>
  </si>
  <si>
    <t>PO-315086</t>
  </si>
  <si>
    <t>PO-857748</t>
  </si>
  <si>
    <t>PO-127225</t>
  </si>
  <si>
    <t>PO-634460</t>
  </si>
  <si>
    <t>PO-524723</t>
  </si>
  <si>
    <t>PO-475892</t>
  </si>
  <si>
    <t>PO-267126</t>
  </si>
  <si>
    <t>PO-123266</t>
  </si>
  <si>
    <t>PO-492857</t>
  </si>
  <si>
    <t>PO-639775</t>
  </si>
  <si>
    <t>PO-442121</t>
  </si>
  <si>
    <t>ORD-2025-20066</t>
  </si>
  <si>
    <t>PO-818114</t>
  </si>
  <si>
    <t>PO-446691</t>
  </si>
  <si>
    <t>PO-633871</t>
  </si>
  <si>
    <t>PO-873258</t>
  </si>
  <si>
    <t>PO-849566</t>
  </si>
  <si>
    <t>PO-268792</t>
  </si>
  <si>
    <t>PO-464035</t>
  </si>
  <si>
    <t>PO-321185</t>
  </si>
  <si>
    <t>PO-547288</t>
  </si>
  <si>
    <t>PO-119038</t>
  </si>
  <si>
    <t>PO-337904</t>
  </si>
  <si>
    <t>ORD-2025-20077</t>
  </si>
  <si>
    <t>PO-434003</t>
  </si>
  <si>
    <t>PO-114001</t>
  </si>
  <si>
    <t>PO-955476</t>
  </si>
  <si>
    <t>PO-381836</t>
  </si>
  <si>
    <t>PO-196503</t>
  </si>
  <si>
    <t>PO-411859</t>
  </si>
  <si>
    <t>PO-494333</t>
  </si>
  <si>
    <t>PO-200835</t>
  </si>
  <si>
    <t>PO-936126</t>
  </si>
  <si>
    <t>PO-239121</t>
  </si>
  <si>
    <t>PO-859306</t>
  </si>
  <si>
    <t>PO-546149</t>
  </si>
  <si>
    <t>PO-507621</t>
  </si>
  <si>
    <t>PO-541457</t>
  </si>
  <si>
    <t>PO-402203</t>
  </si>
  <si>
    <t>PO-119979</t>
  </si>
  <si>
    <t>PO-268281</t>
  </si>
  <si>
    <t>PO-750059</t>
  </si>
  <si>
    <t>PO-558139</t>
  </si>
  <si>
    <t>PO-371197</t>
  </si>
  <si>
    <t>PO-716234</t>
  </si>
  <si>
    <t>PO-901850</t>
  </si>
  <si>
    <t>PO-968918</t>
  </si>
  <si>
    <t>PO-897042</t>
  </si>
  <si>
    <t>PO-217804</t>
  </si>
  <si>
    <t>PO-276415</t>
  </si>
  <si>
    <t>PO-314110</t>
  </si>
  <si>
    <t>PO-690586</t>
  </si>
  <si>
    <t>PO-369253</t>
  </si>
  <si>
    <t>PO-195310</t>
  </si>
  <si>
    <t>PO-687940</t>
  </si>
  <si>
    <t>PO-377828</t>
  </si>
  <si>
    <t>PO-848298</t>
  </si>
  <si>
    <t>PO-703787</t>
  </si>
  <si>
    <t>PO-277964</t>
  </si>
  <si>
    <t>PO-820020</t>
  </si>
  <si>
    <t>PO-936251</t>
  </si>
  <si>
    <t>PO-561431</t>
  </si>
  <si>
    <t>PO-124916</t>
  </si>
  <si>
    <t>PO-913858</t>
  </si>
  <si>
    <t>PO-825297</t>
  </si>
  <si>
    <t>PO-805759</t>
  </si>
  <si>
    <t>PO-504423</t>
  </si>
  <si>
    <t>PO-572322</t>
  </si>
  <si>
    <t>PO-669278</t>
  </si>
  <si>
    <t>PO-807952</t>
  </si>
  <si>
    <t>PO-301217</t>
  </si>
  <si>
    <t>PO-170475</t>
  </si>
  <si>
    <t>PO-286572</t>
  </si>
  <si>
    <t>PO-416397</t>
  </si>
  <si>
    <t>PO-273787</t>
  </si>
  <si>
    <t>PO-975608</t>
  </si>
  <si>
    <t>PO-604547</t>
  </si>
  <si>
    <t>PO-736669</t>
  </si>
  <si>
    <t>PO-526197</t>
  </si>
  <si>
    <t>PO-376010</t>
  </si>
  <si>
    <t>PO-100141</t>
  </si>
  <si>
    <t>PO-473359</t>
  </si>
  <si>
    <t>PO-899575</t>
  </si>
  <si>
    <t>PO-295472</t>
  </si>
  <si>
    <t>PO-495699</t>
  </si>
  <si>
    <t>PO-321092</t>
  </si>
  <si>
    <t>PO-651230</t>
  </si>
  <si>
    <t>PO-279417</t>
  </si>
  <si>
    <t>PO-887067</t>
  </si>
  <si>
    <t>PO-994190</t>
  </si>
  <si>
    <t>PO-379739</t>
  </si>
  <si>
    <t>PO-177942</t>
  </si>
  <si>
    <t>PO-789355</t>
  </si>
  <si>
    <t>PO-343206</t>
  </si>
  <si>
    <t>PO-286129</t>
  </si>
  <si>
    <t>PO-651540</t>
  </si>
  <si>
    <t>PO-547083</t>
  </si>
  <si>
    <t>PO-252524</t>
  </si>
  <si>
    <t>PO-672293</t>
  </si>
  <si>
    <t>PO-378553</t>
  </si>
  <si>
    <t>PO-612649</t>
  </si>
  <si>
    <t>PO-368675</t>
  </si>
  <si>
    <t>PO-858756</t>
  </si>
  <si>
    <t>PO-564005</t>
  </si>
  <si>
    <t>PO-871775</t>
  </si>
  <si>
    <t>PO-266236</t>
  </si>
  <si>
    <t>PO-672782</t>
  </si>
  <si>
    <t>PO-105428</t>
  </si>
  <si>
    <t>PO-303986</t>
  </si>
  <si>
    <t>PO-449097</t>
  </si>
  <si>
    <t>PO-148843</t>
  </si>
  <si>
    <t>PO-771505</t>
  </si>
  <si>
    <t>PO-246731</t>
  </si>
  <si>
    <t>PO-260995</t>
  </si>
  <si>
    <t>PO-236102</t>
  </si>
  <si>
    <t>PO-399959</t>
  </si>
  <si>
    <t>PO-702846</t>
  </si>
  <si>
    <t>PO-868432</t>
  </si>
  <si>
    <t>PO-199882</t>
  </si>
  <si>
    <t>PO-542274</t>
  </si>
  <si>
    <t>PO-121079</t>
  </si>
  <si>
    <t>PO-968122</t>
  </si>
  <si>
    <t>PO-206433</t>
  </si>
  <si>
    <t>PO-435470</t>
  </si>
  <si>
    <t>PO-213299</t>
  </si>
  <si>
    <t>PO-883361</t>
  </si>
  <si>
    <t>PO-284287</t>
  </si>
  <si>
    <t>PO-972442</t>
  </si>
  <si>
    <t>PO-736546</t>
  </si>
  <si>
    <t>PO-106974</t>
  </si>
  <si>
    <t>PO-347159</t>
  </si>
  <si>
    <t>PO-879193</t>
  </si>
  <si>
    <t>PO-147673</t>
  </si>
  <si>
    <t>PO-456933</t>
  </si>
  <si>
    <t>PO-988271</t>
  </si>
  <si>
    <t>PO-646195</t>
  </si>
  <si>
    <t>PO-635542</t>
  </si>
  <si>
    <t>PO-889117</t>
  </si>
  <si>
    <t>PO-398335</t>
  </si>
  <si>
    <t>PO-300245</t>
  </si>
  <si>
    <t>PO-588077</t>
  </si>
  <si>
    <t>PO-369258</t>
  </si>
  <si>
    <t>PO-610401</t>
  </si>
  <si>
    <t>PO-247328</t>
  </si>
  <si>
    <t>PO-806494</t>
  </si>
  <si>
    <t>PO-704627</t>
  </si>
  <si>
    <t>PO-775591</t>
  </si>
  <si>
    <t>PO-974178</t>
  </si>
  <si>
    <t>PO-722443</t>
  </si>
  <si>
    <t>PO-640200</t>
  </si>
  <si>
    <t>PO-232924</t>
  </si>
  <si>
    <t>PO-757203</t>
  </si>
  <si>
    <t>PO-131862</t>
  </si>
  <si>
    <t>PO-134496</t>
  </si>
  <si>
    <t>PO-788038</t>
  </si>
  <si>
    <t>PO-602101</t>
  </si>
  <si>
    <t>PO-845623</t>
  </si>
  <si>
    <t>PO-530247</t>
  </si>
  <si>
    <t>PO-251971</t>
  </si>
  <si>
    <t>PO-206817</t>
  </si>
  <si>
    <t>PO-617080</t>
  </si>
  <si>
    <t>PO-551039</t>
  </si>
  <si>
    <t>PO-926462</t>
  </si>
  <si>
    <t>PO-990031</t>
  </si>
  <si>
    <t>PO-565935</t>
  </si>
  <si>
    <t>PO-310948</t>
  </si>
  <si>
    <t>PO-571326</t>
  </si>
  <si>
    <t>PO-604953</t>
  </si>
  <si>
    <t>PO-553881</t>
  </si>
  <si>
    <t>PO-777506</t>
  </si>
  <si>
    <t>PO-887276</t>
  </si>
  <si>
    <t>PO-372807</t>
  </si>
  <si>
    <t>PO-583435</t>
  </si>
  <si>
    <t>PO-306835</t>
  </si>
  <si>
    <t>PO-477474</t>
  </si>
  <si>
    <t>PO-758483</t>
  </si>
  <si>
    <t>PO-847872</t>
  </si>
  <si>
    <t>PO-413163</t>
  </si>
  <si>
    <t>PO-504922</t>
  </si>
  <si>
    <t>PO-294834</t>
  </si>
  <si>
    <t>PO-412392</t>
  </si>
  <si>
    <t>PO-630624</t>
  </si>
  <si>
    <t>PO-858347</t>
  </si>
  <si>
    <t>ORD-2025-20236</t>
  </si>
  <si>
    <t>PO-101279</t>
  </si>
  <si>
    <t>PO-384520</t>
  </si>
  <si>
    <t>PO-501014</t>
  </si>
  <si>
    <t>PO-560157</t>
  </si>
  <si>
    <t>PO-905108</t>
  </si>
  <si>
    <t>ORD-2025-20241</t>
  </si>
  <si>
    <t>PO-538051</t>
  </si>
  <si>
    <t>PO-922626</t>
  </si>
  <si>
    <t>PO-414173</t>
  </si>
  <si>
    <t>PO-657488</t>
  </si>
  <si>
    <t>PO-866316</t>
  </si>
  <si>
    <t>PO-394996</t>
  </si>
  <si>
    <t>PO-193727</t>
  </si>
  <si>
    <t>PO-106555</t>
  </si>
  <si>
    <t>PO-350151</t>
  </si>
  <si>
    <t>PO-912314</t>
  </si>
  <si>
    <t>PO-576698</t>
  </si>
  <si>
    <t>PO-621117</t>
  </si>
  <si>
    <t>PO-950986</t>
  </si>
  <si>
    <t>PO-824160</t>
  </si>
  <si>
    <t>PO-930072</t>
  </si>
  <si>
    <t>PO-857553</t>
  </si>
  <si>
    <t>PO-948087</t>
  </si>
  <si>
    <t>PO-265917</t>
  </si>
  <si>
    <t>PO-342197</t>
  </si>
  <si>
    <t>PO-943019</t>
  </si>
  <si>
    <t>PO-100487</t>
  </si>
  <si>
    <t>PO-911918</t>
  </si>
  <si>
    <t>PO-344159</t>
  </si>
  <si>
    <t>PO-845852</t>
  </si>
  <si>
    <t>PO-658613</t>
  </si>
  <si>
    <t>PO-407768</t>
  </si>
  <si>
    <t>PO-800403</t>
  </si>
  <si>
    <t>PO-220195</t>
  </si>
  <si>
    <t>PO-760973</t>
  </si>
  <si>
    <t>PO-191039</t>
  </si>
  <si>
    <t>PO-360338</t>
  </si>
  <si>
    <t>PO-320448</t>
  </si>
  <si>
    <t>PO-442476</t>
  </si>
  <si>
    <t>PO-490877</t>
  </si>
  <si>
    <t>PO-171024</t>
  </si>
  <si>
    <t>PO-852699</t>
  </si>
  <si>
    <t>PO-119200</t>
  </si>
  <si>
    <t>PO-247176</t>
  </si>
  <si>
    <t>PO-721356</t>
  </si>
  <si>
    <t>PO-599586</t>
  </si>
  <si>
    <t>PO-436894</t>
  </si>
  <si>
    <t>PO-835871</t>
  </si>
  <si>
    <t>PO-732670</t>
  </si>
  <si>
    <t>PO-190429</t>
  </si>
  <si>
    <t>PO-290154</t>
  </si>
  <si>
    <t>PO-902765</t>
  </si>
  <si>
    <t>PO-135813</t>
  </si>
  <si>
    <t>PO-780011</t>
  </si>
  <si>
    <t>PO-578710</t>
  </si>
  <si>
    <t>PO-657448</t>
  </si>
  <si>
    <t>PO-176238</t>
  </si>
  <si>
    <t>PO-312751</t>
  </si>
  <si>
    <t>PO-711114</t>
  </si>
  <si>
    <t>PO-986393</t>
  </si>
  <si>
    <t>ORD-2025-20295</t>
  </si>
  <si>
    <t>PO-477621</t>
  </si>
  <si>
    <t>PO-987512</t>
  </si>
  <si>
    <t>PO-901099</t>
  </si>
  <si>
    <t>PO-110917</t>
  </si>
  <si>
    <t>PO-209227</t>
  </si>
  <si>
    <t>PO-666404</t>
  </si>
  <si>
    <t>PO-153915</t>
  </si>
  <si>
    <t>PO-500274</t>
  </si>
  <si>
    <t>PO-871425</t>
  </si>
  <si>
    <t>PO-138670</t>
  </si>
  <si>
    <t>PO-878077</t>
  </si>
  <si>
    <t>PO-581207</t>
  </si>
  <si>
    <t>PO-955164</t>
  </si>
  <si>
    <t>PO-341280</t>
  </si>
  <si>
    <t>PO-627960</t>
  </si>
  <si>
    <t>PO-695271</t>
  </si>
  <si>
    <t>PO-811489</t>
  </si>
  <si>
    <t>PO-485130</t>
  </si>
  <si>
    <t>PO-849578</t>
  </si>
  <si>
    <t>PO-478537</t>
  </si>
  <si>
    <t>PO-174622</t>
  </si>
  <si>
    <t>PO-603175</t>
  </si>
  <si>
    <t>PO-140332</t>
  </si>
  <si>
    <t>PO-820812</t>
  </si>
  <si>
    <t>PO-979434</t>
  </si>
  <si>
    <t>PO-486837</t>
  </si>
  <si>
    <t>PO-129611</t>
  </si>
  <si>
    <t>PO-998758</t>
  </si>
  <si>
    <t>PO-217706</t>
  </si>
  <si>
    <t>PO-185392</t>
  </si>
  <si>
    <t>PO-180876</t>
  </si>
  <si>
    <t>PO-686484</t>
  </si>
  <si>
    <t>PO-729919</t>
  </si>
  <si>
    <t>PO-940100</t>
  </si>
  <si>
    <t>PO-889475</t>
  </si>
  <si>
    <t>PO-828374</t>
  </si>
  <si>
    <t>PO-186095</t>
  </si>
  <si>
    <t>PO-835845</t>
  </si>
  <si>
    <t>PO-279734</t>
  </si>
  <si>
    <t>PO-707335</t>
  </si>
  <si>
    <t>PO-855838</t>
  </si>
  <si>
    <t>PO-214215</t>
  </si>
  <si>
    <t>PO-626296</t>
  </si>
  <si>
    <t>PO-525448</t>
  </si>
  <si>
    <t>PO-547395</t>
  </si>
  <si>
    <t>PO-749952</t>
  </si>
  <si>
    <t>PO-365921</t>
  </si>
  <si>
    <t>PO-572234</t>
  </si>
  <si>
    <t>PO-351208</t>
  </si>
  <si>
    <t>PO-984925</t>
  </si>
  <si>
    <t>PO-571966</t>
  </si>
  <si>
    <t>PO-931742</t>
  </si>
  <si>
    <t>PO-108224</t>
  </si>
  <si>
    <t>PO-214092</t>
  </si>
  <si>
    <t>PO-234805</t>
  </si>
  <si>
    <t>PO-630725</t>
  </si>
  <si>
    <t>PO-752252</t>
  </si>
  <si>
    <t>PO-747456</t>
  </si>
  <si>
    <t>PO-495220</t>
  </si>
  <si>
    <t>PO-659459</t>
  </si>
  <si>
    <t>PO-683424</t>
  </si>
  <si>
    <t>PO-826561</t>
  </si>
  <si>
    <t>PO-370923</t>
  </si>
  <si>
    <t>PO-149864</t>
  </si>
  <si>
    <t>PO-309130</t>
  </si>
  <si>
    <t>PO-959976</t>
  </si>
  <si>
    <t>PO-438925</t>
  </si>
  <si>
    <t>PO-308751</t>
  </si>
  <si>
    <t>PO-628173</t>
  </si>
  <si>
    <t>PO-854334</t>
  </si>
  <si>
    <t>PO-132525</t>
  </si>
  <si>
    <t>PO-815488</t>
  </si>
  <si>
    <t>PO-917817</t>
  </si>
  <si>
    <t>PO-451608</t>
  </si>
  <si>
    <t>PO-769663</t>
  </si>
  <si>
    <t>PO-326474</t>
  </si>
  <si>
    <t>PO-391958</t>
  </si>
  <si>
    <t>PO-833590</t>
  </si>
  <si>
    <t>PO-965570</t>
  </si>
  <si>
    <t>PO-674898</t>
  </si>
  <si>
    <t>PO-936887</t>
  </si>
  <si>
    <t>PO-727875</t>
  </si>
  <si>
    <t>PO-555442</t>
  </si>
  <si>
    <t>PO-401233</t>
  </si>
  <si>
    <t>PO-896928</t>
  </si>
  <si>
    <t>PO-264473</t>
  </si>
  <si>
    <t>PO-770540</t>
  </si>
  <si>
    <t>PO-451512</t>
  </si>
  <si>
    <t>PO-763609</t>
  </si>
  <si>
    <t>PO-245081</t>
  </si>
  <si>
    <t>PO-255973</t>
  </si>
  <si>
    <t>PO-102628</t>
  </si>
  <si>
    <t>PO-991047</t>
  </si>
  <si>
    <t>PO-837015</t>
  </si>
  <si>
    <t>PO-735615</t>
  </si>
  <si>
    <t>PO-104521</t>
  </si>
  <si>
    <t>PO-260104</t>
  </si>
  <si>
    <t>PO-818554</t>
  </si>
  <si>
    <t>PO-372813</t>
  </si>
  <si>
    <t>PO-105100</t>
  </si>
  <si>
    <t>PO-742023</t>
  </si>
  <si>
    <t>PO-167220</t>
  </si>
  <si>
    <t>PO-267138</t>
  </si>
  <si>
    <t>PO-926162</t>
  </si>
  <si>
    <t>PO-304755</t>
  </si>
  <si>
    <t>PO-843719</t>
  </si>
  <si>
    <t>PO-482639</t>
  </si>
  <si>
    <t>PO-219051</t>
  </si>
  <si>
    <t>PO-476385</t>
  </si>
  <si>
    <t>PO-705100</t>
  </si>
  <si>
    <t>PO-818796</t>
  </si>
  <si>
    <t>PO-241295</t>
  </si>
  <si>
    <t>PO-337613</t>
  </si>
  <si>
    <t>PO-154801</t>
  </si>
  <si>
    <t>PO-853259</t>
  </si>
  <si>
    <t>PO-495374</t>
  </si>
  <si>
    <t>PO-378467</t>
  </si>
  <si>
    <t>PO-576495</t>
  </si>
  <si>
    <t>PO-527888</t>
  </si>
  <si>
    <t>PO-782515</t>
  </si>
  <si>
    <t>PO-522504</t>
  </si>
  <si>
    <t>PO-320065</t>
  </si>
  <si>
    <t>PO-310756</t>
  </si>
  <si>
    <t>PO-621550</t>
  </si>
  <si>
    <t>PO-278860</t>
  </si>
  <si>
    <t>PO-628089</t>
  </si>
  <si>
    <t>PO-331251</t>
  </si>
  <si>
    <t>PO-969789</t>
  </si>
  <si>
    <t>PO-893919</t>
  </si>
  <si>
    <t>PO-578800</t>
  </si>
  <si>
    <t>ORD-2025-20425</t>
  </si>
  <si>
    <t>PO-629068</t>
  </si>
  <si>
    <t>PO-258596</t>
  </si>
  <si>
    <t>PO-109904</t>
  </si>
  <si>
    <t>PO-251748</t>
  </si>
  <si>
    <t>PO-403748</t>
  </si>
  <si>
    <t>PO-197665</t>
  </si>
  <si>
    <t>PO-212481</t>
  </si>
  <si>
    <t>PO-785621</t>
  </si>
  <si>
    <t>PO-416434</t>
  </si>
  <si>
    <t>PO-996959</t>
  </si>
  <si>
    <t>PO-743685</t>
  </si>
  <si>
    <t>PO-483417</t>
  </si>
  <si>
    <t>PO-715236</t>
  </si>
  <si>
    <t>PO-510496</t>
  </si>
  <si>
    <t>PO-425781</t>
  </si>
  <si>
    <t>PO-176209</t>
  </si>
  <si>
    <t>PO-155334</t>
  </si>
  <si>
    <t>PO-437510</t>
  </si>
  <si>
    <t>PO-792022</t>
  </si>
  <si>
    <t>PO-872580</t>
  </si>
  <si>
    <t>PO-276728</t>
  </si>
  <si>
    <t>PO-209727</t>
  </si>
  <si>
    <t>PO-830742</t>
  </si>
  <si>
    <t>PO-986263</t>
  </si>
  <si>
    <t>PO-734845</t>
  </si>
  <si>
    <t>PO-517723</t>
  </si>
  <si>
    <t>PO-534121</t>
  </si>
  <si>
    <t>PO-438184</t>
  </si>
  <si>
    <t>PO-163200</t>
  </si>
  <si>
    <t>PO-406807</t>
  </si>
  <si>
    <t>PO-629885</t>
  </si>
  <si>
    <t>PO-632750</t>
  </si>
  <si>
    <t>PO-360629</t>
  </si>
  <si>
    <t>PO-479132</t>
  </si>
  <si>
    <t>PO-158393</t>
  </si>
  <si>
    <t>PO-217447</t>
  </si>
  <si>
    <t>PO-557416</t>
  </si>
  <si>
    <t>PO-453364</t>
  </si>
  <si>
    <t>PO-656232</t>
  </si>
  <si>
    <t>PO-357086</t>
  </si>
  <si>
    <t>PO-799636</t>
  </si>
  <si>
    <t>PO-107258</t>
  </si>
  <si>
    <t>PO-401820</t>
  </si>
  <si>
    <t>PO-645216</t>
  </si>
  <si>
    <t>PO-952424</t>
  </si>
  <si>
    <t>PO-134854</t>
  </si>
  <si>
    <t>PO-244572</t>
  </si>
  <si>
    <t>PO-706945</t>
  </si>
  <si>
    <t>PO-708057</t>
  </si>
  <si>
    <t>PO-633389</t>
  </si>
  <si>
    <t>PO-907147</t>
  </si>
  <si>
    <t>PO-420940</t>
  </si>
  <si>
    <t>PO-616701</t>
  </si>
  <si>
    <t>PO-815353</t>
  </si>
  <si>
    <t>PO-250706</t>
  </si>
  <si>
    <t>PO-504395</t>
  </si>
  <si>
    <t>PO-427228</t>
  </si>
  <si>
    <t>Clearance Distribution LLC</t>
  </si>
  <si>
    <t>PO-CLR-001</t>
  </si>
  <si>
    <t>PO-CLR-002</t>
  </si>
  <si>
    <t>PO-CLR-003</t>
  </si>
  <si>
    <t>PO-667231</t>
  </si>
  <si>
    <t>PO-729313</t>
  </si>
  <si>
    <t>PO-285940</t>
  </si>
  <si>
    <t>PO-519815</t>
  </si>
  <si>
    <t>PO-313704</t>
  </si>
  <si>
    <t>PO-731396</t>
  </si>
  <si>
    <t>PO-446931</t>
  </si>
  <si>
    <t>PO-387587</t>
  </si>
  <si>
    <t>PO-954146</t>
  </si>
  <si>
    <t>PO-936108</t>
  </si>
  <si>
    <t>PO-454396</t>
  </si>
  <si>
    <t>PO-987557</t>
  </si>
  <si>
    <t>PO-944191</t>
  </si>
  <si>
    <t>PO-726040</t>
  </si>
  <si>
    <t>PO-701681</t>
  </si>
  <si>
    <t>PO-458589</t>
  </si>
  <si>
    <t>PO-790297</t>
  </si>
  <si>
    <t>PO-149042</t>
  </si>
  <si>
    <t>Product_Name</t>
  </si>
  <si>
    <t>Warehouse</t>
  </si>
  <si>
    <t>Qty_On_Hand</t>
  </si>
  <si>
    <t>Unit_Cost ($)</t>
  </si>
  <si>
    <t>Receipt_Date</t>
  </si>
  <si>
    <t>Manufacture_Date</t>
  </si>
  <si>
    <t>Expiry_Date</t>
  </si>
  <si>
    <t>Supplier</t>
  </si>
  <si>
    <t>Eff_Expiry</t>
  </si>
  <si>
    <t>Days_Remaining</t>
  </si>
  <si>
    <t>Expiry_Reserve%</t>
  </si>
  <si>
    <t>Recall</t>
  </si>
  <si>
    <t>ShortDated</t>
  </si>
  <si>
    <t>Stale2023</t>
  </si>
  <si>
    <t>Final_Reserve%</t>
  </si>
  <si>
    <t>Eff_Unit_Cost ($)</t>
  </si>
  <si>
    <t>Gross_Cost ($)</t>
  </si>
  <si>
    <t>Net_Value ($)</t>
  </si>
  <si>
    <t>Adjustment ($)</t>
  </si>
  <si>
    <t>LOT-10000</t>
  </si>
  <si>
    <t>SKU-STE-2993</t>
  </si>
  <si>
    <t>Heparin 5000U Vial</t>
  </si>
  <si>
    <t>WH-West</t>
  </si>
  <si>
    <t>Helix Pharma</t>
  </si>
  <si>
    <t>LOT-10001</t>
  </si>
  <si>
    <t>SKU-COL-9556</t>
  </si>
  <si>
    <t>Cryo Reagent</t>
  </si>
  <si>
    <t>WH-Central</t>
  </si>
  <si>
    <t>Orion Diagnostics</t>
  </si>
  <si>
    <t>LOT-10002</t>
  </si>
  <si>
    <t>SKU-COL-9753</t>
  </si>
  <si>
    <t>Antigen Panel</t>
  </si>
  <si>
    <t>LOT-10003</t>
  </si>
  <si>
    <t>SKU-COL-7448</t>
  </si>
  <si>
    <t>Growth Factor GF2</t>
  </si>
  <si>
    <t>LOT-10004</t>
  </si>
  <si>
    <t>SKU-DIA-7179</t>
  </si>
  <si>
    <t>ELISA Plate Kit</t>
  </si>
  <si>
    <t>BioCore Labs</t>
  </si>
  <si>
    <t>LOT-10005</t>
  </si>
  <si>
    <t>SKU-PAC-3800</t>
  </si>
  <si>
    <t>Shipper Box L</t>
  </si>
  <si>
    <t>LOT-10006</t>
  </si>
  <si>
    <t>SKU-DIA-6258</t>
  </si>
  <si>
    <t>Rapid Antigen Kit</t>
  </si>
  <si>
    <t>LOT-10007</t>
  </si>
  <si>
    <t>SKU-COL-4653</t>
  </si>
  <si>
    <t>Omega-3 1000mg</t>
  </si>
  <si>
    <t>WH-East</t>
  </si>
  <si>
    <t>Panacea Supply</t>
  </si>
  <si>
    <t>LOT-10009</t>
  </si>
  <si>
    <t>SKU-STE-3210</t>
  </si>
  <si>
    <t>Furosemide Inj</t>
  </si>
  <si>
    <t>LOT-10010</t>
  </si>
  <si>
    <t>SKU-DIA-6857</t>
  </si>
  <si>
    <t>Vireo Bio</t>
  </si>
  <si>
    <t>Metformin 500mg</t>
  </si>
  <si>
    <t>LOT-10013</t>
  </si>
  <si>
    <t>SKU-COL-1868</t>
  </si>
  <si>
    <t>LOT-10014</t>
  </si>
  <si>
    <t>SKU-NUT-5788</t>
  </si>
  <si>
    <t>Vitamin D3 Softgel</t>
  </si>
  <si>
    <t>LOT-10015</t>
  </si>
  <si>
    <t>SKU-NUT-5658</t>
  </si>
  <si>
    <t>MedSource Intl</t>
  </si>
  <si>
    <t>LOT-10016</t>
  </si>
  <si>
    <t>SKU-PAC-4576</t>
  </si>
  <si>
    <t>Label Roll A4</t>
  </si>
  <si>
    <t>LOT-10017</t>
  </si>
  <si>
    <t>SKU-COL-9717</t>
  </si>
  <si>
    <t>Cell Culture Media</t>
  </si>
  <si>
    <t>Cold-Store-1</t>
  </si>
  <si>
    <t>LOT-10018</t>
  </si>
  <si>
    <t>SKU-NUT-4984</t>
  </si>
  <si>
    <t>LOT-10019</t>
  </si>
  <si>
    <t>SKU-PAC-8917</t>
  </si>
  <si>
    <t>Carton 200x150</t>
  </si>
  <si>
    <t>Atorvastatin 20mg</t>
  </si>
  <si>
    <t>LOT-10021</t>
  </si>
  <si>
    <t>SKU-REA-9400</t>
  </si>
  <si>
    <t>Buffer Solution pH7</t>
  </si>
  <si>
    <t>LOT-10022</t>
  </si>
  <si>
    <t>SKU-REA-1054</t>
  </si>
  <si>
    <t>Enzyme Mix E5</t>
  </si>
  <si>
    <t>LOT-10023</t>
  </si>
  <si>
    <t>SKU-PAC-5287</t>
  </si>
  <si>
    <t>Atlas Chem</t>
  </si>
  <si>
    <t>LOT-10025</t>
  </si>
  <si>
    <t>SKU-PAC-1075</t>
  </si>
  <si>
    <t>LOT-10026</t>
  </si>
  <si>
    <t>SKU-COL-8725</t>
  </si>
  <si>
    <t>LOT-10028</t>
  </si>
  <si>
    <t>SKU-REA-1911</t>
  </si>
  <si>
    <t>LOT-10029</t>
  </si>
  <si>
    <t>SKU-COL-1385</t>
  </si>
  <si>
    <t>Magnesium Citrate</t>
  </si>
  <si>
    <t>LOT-10031</t>
  </si>
  <si>
    <t>SKU-PAC-7198</t>
  </si>
  <si>
    <t>LOT-10032</t>
  </si>
  <si>
    <t>SKU-REA-2492</t>
  </si>
  <si>
    <t>Staining Reagent</t>
  </si>
  <si>
    <t>LOT-10033</t>
  </si>
  <si>
    <t>SKU-PAC-6456</t>
  </si>
  <si>
    <t>Blister Foil</t>
  </si>
  <si>
    <t>LOT-10034</t>
  </si>
  <si>
    <t>SKU-REA-7250</t>
  </si>
  <si>
    <t>LOT-10035</t>
  </si>
  <si>
    <t>SKU-PAC-5568</t>
  </si>
  <si>
    <t>LOT-10036</t>
  </si>
  <si>
    <t>SKU-COL-5731</t>
  </si>
  <si>
    <t>mAb Conjugate B1</t>
  </si>
  <si>
    <t>LOT-10038</t>
  </si>
  <si>
    <t>SKU-STE-8948</t>
  </si>
  <si>
    <t>LOT-10039</t>
  </si>
  <si>
    <t>SKU-DIA-2272</t>
  </si>
  <si>
    <t>LOT-10040</t>
  </si>
  <si>
    <t>SKU-REA-1337</t>
  </si>
  <si>
    <t>LOT-10041</t>
  </si>
  <si>
    <t>SKU-COL-3567</t>
  </si>
  <si>
    <t>LOT-10043</t>
  </si>
  <si>
    <t>SKU-REA-2726</t>
  </si>
  <si>
    <t>LOT-10044</t>
  </si>
  <si>
    <t>SKU-DIA-6222</t>
  </si>
  <si>
    <t>Lipid Panel Kit</t>
  </si>
  <si>
    <t>LOT-10045</t>
  </si>
  <si>
    <t>SKU-COL-6185</t>
  </si>
  <si>
    <t>LOT-10046</t>
  </si>
  <si>
    <t>SKU-PAC-9977</t>
  </si>
  <si>
    <t>Pallet Wrap</t>
  </si>
  <si>
    <t>LOT-10047</t>
  </si>
  <si>
    <t>SKU-REA-6677</t>
  </si>
  <si>
    <t>LOT-10048</t>
  </si>
  <si>
    <t>SKU-COL-3606</t>
  </si>
  <si>
    <t>LOT-10049</t>
  </si>
  <si>
    <t>SKU-DIA-3894</t>
  </si>
  <si>
    <t>Glucose Test Strips</t>
  </si>
  <si>
    <t>LOT-10050</t>
  </si>
  <si>
    <t>SKU-REA-8238</t>
  </si>
  <si>
    <t>Metoclopramide Inj</t>
  </si>
  <si>
    <t>LOT-10052</t>
  </si>
  <si>
    <t>SKU-REA-9520</t>
  </si>
  <si>
    <t>Wash Concentrate</t>
  </si>
  <si>
    <t>Amoxicillin 250mg Cap</t>
  </si>
  <si>
    <t>LOT-10054</t>
  </si>
  <si>
    <t>SKU-DIA-9255</t>
  </si>
  <si>
    <t>LOT-10055</t>
  </si>
  <si>
    <t>SKU-NUT-8246</t>
  </si>
  <si>
    <t>LOT-10056</t>
  </si>
  <si>
    <t>SKU-COL-2991</t>
  </si>
  <si>
    <t>LOT-10057</t>
  </si>
  <si>
    <t>SKU-DIA-9634</t>
  </si>
  <si>
    <t>LOT-10058</t>
  </si>
  <si>
    <t>SKU-DIA-9159</t>
  </si>
  <si>
    <t>Ibuprofen 200mg</t>
  </si>
  <si>
    <t>LOT-10060</t>
  </si>
  <si>
    <t>SKU-DIA-3817</t>
  </si>
  <si>
    <t>LOT-10062</t>
  </si>
  <si>
    <t>SKU-STE-7748</t>
  </si>
  <si>
    <t>LOT-10063</t>
  </si>
  <si>
    <t>SKU-PAC-3214</t>
  </si>
  <si>
    <t>LOT-10064</t>
  </si>
  <si>
    <t>SKU-NUT-5903</t>
  </si>
  <si>
    <t>SKU-NUT-3888</t>
  </si>
  <si>
    <t>LOT-10066</t>
  </si>
  <si>
    <t>SKU-DIA-2222</t>
  </si>
  <si>
    <t>LOT-10068</t>
  </si>
  <si>
    <t>SKU-DIA-7667</t>
  </si>
  <si>
    <t>LOT-10071</t>
  </si>
  <si>
    <t>SKU-NUT-7606</t>
  </si>
  <si>
    <t>LOT-10073</t>
  </si>
  <si>
    <t>SKU-STE-4534</t>
  </si>
  <si>
    <t>Ceftriaxone 1g Vial</t>
  </si>
  <si>
    <t>LOT-10074</t>
  </si>
  <si>
    <t>SKU-NUT-2209</t>
  </si>
  <si>
    <t>LOT-10075</t>
  </si>
  <si>
    <t>SKU-NUT-4293</t>
  </si>
  <si>
    <t>Probiotic Blend</t>
  </si>
  <si>
    <t>LOT-10077</t>
  </si>
  <si>
    <t>SKU-REA-8068</t>
  </si>
  <si>
    <t>LOT-10078</t>
  </si>
  <si>
    <t>SKU-REA-1359</t>
  </si>
  <si>
    <t>LOT-10079</t>
  </si>
  <si>
    <t>SKU-DIA-2036</t>
  </si>
  <si>
    <t>LOT-10080</t>
  </si>
  <si>
    <t>SKU-COL-6719</t>
  </si>
  <si>
    <t>LOT-10081</t>
  </si>
  <si>
    <t>SKU-REA-7135</t>
  </si>
  <si>
    <t>LOT-10082</t>
  </si>
  <si>
    <t>SKU-PAC-5425</t>
  </si>
  <si>
    <t>LOT-10083</t>
  </si>
  <si>
    <t>SKU-PAC-3922</t>
  </si>
  <si>
    <t>LOT-10084</t>
  </si>
  <si>
    <t>SKU-DIA-7846</t>
  </si>
  <si>
    <t>HbA1c Kit</t>
  </si>
  <si>
    <t>LOT-10085</t>
  </si>
  <si>
    <t>SKU-DIA-4262</t>
  </si>
  <si>
    <t>LOT-10086</t>
  </si>
  <si>
    <t>SKU-REA-9550</t>
  </si>
  <si>
    <t>LOT-10087</t>
  </si>
  <si>
    <t>SKU-DIA-1477</t>
  </si>
  <si>
    <t>LOT-10089</t>
  </si>
  <si>
    <t>SKU-NUT-4528</t>
  </si>
  <si>
    <t>LOT-10090</t>
  </si>
  <si>
    <t>SKU-PAC-1636</t>
  </si>
  <si>
    <t>LOT-10091</t>
  </si>
  <si>
    <t>SKU-PAC-1455</t>
  </si>
  <si>
    <t>LOT-10092</t>
  </si>
  <si>
    <t>SKU-PAC-6067</t>
  </si>
  <si>
    <t>LOT-10093</t>
  </si>
  <si>
    <t>SKU-REA-9251</t>
  </si>
  <si>
    <t>LOT-10095</t>
  </si>
  <si>
    <t>SKU-PAC-3009</t>
  </si>
  <si>
    <t>LOT-10096</t>
  </si>
  <si>
    <t>SKU-DIA-1978</t>
  </si>
  <si>
    <t>LOT-10098</t>
  </si>
  <si>
    <t>SKU-COL-2647</t>
  </si>
  <si>
    <t>LOT-10099</t>
  </si>
  <si>
    <t>SKU-REA-4279</t>
  </si>
  <si>
    <t>LOT-10100</t>
  </si>
  <si>
    <t>SKU-REA-1330</t>
  </si>
  <si>
    <t>LOT-10101</t>
  </si>
  <si>
    <t>SKU-COL-3747</t>
  </si>
  <si>
    <t>LOT-10102</t>
  </si>
  <si>
    <t>SKU-REA-7906</t>
  </si>
  <si>
    <t>LOT-10103</t>
  </si>
  <si>
    <t>SKU-COL-4006</t>
  </si>
  <si>
    <t>Levothyroxine 50mcg</t>
  </si>
  <si>
    <t>LOT-10105</t>
  </si>
  <si>
    <t>SKU-DIA-8302</t>
  </si>
  <si>
    <t>LOT-10106</t>
  </si>
  <si>
    <t>SKU-DIA-8254</t>
  </si>
  <si>
    <t>LOT-10107</t>
  </si>
  <si>
    <t>SKU-PAC-6293</t>
  </si>
  <si>
    <t>LOT-10108</t>
  </si>
  <si>
    <t>SKU-NUT-1885</t>
  </si>
  <si>
    <t>LOT-10109</t>
  </si>
  <si>
    <t>SKU-PAC-7457</t>
  </si>
  <si>
    <t>LOT-10110</t>
  </si>
  <si>
    <t>SKU-NUT-6900</t>
  </si>
  <si>
    <t>LOT-10114</t>
  </si>
  <si>
    <t>SKU-NUT-2479</t>
  </si>
  <si>
    <t>LOT-10116</t>
  </si>
  <si>
    <t>SKU-NUT-2171</t>
  </si>
  <si>
    <t>LOT-10117</t>
  </si>
  <si>
    <t>SKU-PAC-9223</t>
  </si>
  <si>
    <t>LOT-10118</t>
  </si>
  <si>
    <t>SKU-DIA-9034</t>
  </si>
  <si>
    <t>LOT-10119</t>
  </si>
  <si>
    <t>SKU-PAC-8473</t>
  </si>
  <si>
    <t>LOT-10120</t>
  </si>
  <si>
    <t>SKU-REA-2015</t>
  </si>
  <si>
    <t>LOT-10121</t>
  </si>
  <si>
    <t>SKU-REA-9329</t>
  </si>
  <si>
    <t>Lysis Reagent R2</t>
  </si>
  <si>
    <t>LOT-10122</t>
  </si>
  <si>
    <t>SKU-DIA-4578</t>
  </si>
  <si>
    <t>LOT-10123</t>
  </si>
  <si>
    <t>SKU-NUT-3513</t>
  </si>
  <si>
    <t>LOT-10124</t>
  </si>
  <si>
    <t>SKU-NUT-9372</t>
  </si>
  <si>
    <t>LOT-10125</t>
  </si>
  <si>
    <t>SKU-PAC-4709</t>
  </si>
  <si>
    <t>LOT-10126</t>
  </si>
  <si>
    <t>SKU-REA-2928</t>
  </si>
  <si>
    <t>LOT-10127</t>
  </si>
  <si>
    <t>SKU-STE-5871</t>
  </si>
  <si>
    <t>LOT-10128</t>
  </si>
  <si>
    <t>SKU-DIA-7260</t>
  </si>
  <si>
    <t>LOT-10129</t>
  </si>
  <si>
    <t>SKU-NUT-6281</t>
  </si>
  <si>
    <t>LOT-10130</t>
  </si>
  <si>
    <t>SKU-STE-2960</t>
  </si>
  <si>
    <t>LOT-10131</t>
  </si>
  <si>
    <t>SKU-DIA-9237</t>
  </si>
  <si>
    <t>LOT-10134</t>
  </si>
  <si>
    <t>SKU-REA-8637</t>
  </si>
  <si>
    <t>LOT-10135</t>
  </si>
  <si>
    <t>SKU-PAC-1340</t>
  </si>
  <si>
    <t>LOT-10137</t>
  </si>
  <si>
    <t>SKU-COL-1216</t>
  </si>
  <si>
    <t>LOT-10138</t>
  </si>
  <si>
    <t>SKU-COL-6869</t>
  </si>
  <si>
    <t>SKU-ORA-5345</t>
  </si>
  <si>
    <t>LOT-10141</t>
  </si>
  <si>
    <t>SKU-COL-5258</t>
  </si>
  <si>
    <t>LOT-10142</t>
  </si>
  <si>
    <t>SKU-DIA-9239</t>
  </si>
  <si>
    <t>LOT-10145</t>
  </si>
  <si>
    <t>SKU-STE-9093</t>
  </si>
  <si>
    <t>LOT-10147</t>
  </si>
  <si>
    <t>SKU-COL-7418</t>
  </si>
  <si>
    <t>LOT-10148</t>
  </si>
  <si>
    <t>SKU-NUT-2945</t>
  </si>
  <si>
    <t>LOT-10150</t>
  </si>
  <si>
    <t>SKU-COL-4102</t>
  </si>
  <si>
    <t>LOT-10151</t>
  </si>
  <si>
    <t>SKU-NUT-6438</t>
  </si>
  <si>
    <t>LOT-10154</t>
  </si>
  <si>
    <t>SKU-REA-7153</t>
  </si>
  <si>
    <t>LOT-10155</t>
  </si>
  <si>
    <t>SKU-PAC-7087</t>
  </si>
  <si>
    <t>LOT-10156</t>
  </si>
  <si>
    <t>SKU-REA-1806</t>
  </si>
  <si>
    <t>LOT-10157</t>
  </si>
  <si>
    <t>SKU-COL-6187</t>
  </si>
  <si>
    <t>LOT-10158</t>
  </si>
  <si>
    <t>SKU-NUT-6286</t>
  </si>
  <si>
    <t>LOT-10159</t>
  </si>
  <si>
    <t>SKU-PAC-3875</t>
  </si>
  <si>
    <t>LOT-10160</t>
  </si>
  <si>
    <t>SKU-REA-3720</t>
  </si>
  <si>
    <t>LOT-10163</t>
  </si>
  <si>
    <t>LOT-10164</t>
  </si>
  <si>
    <t>SKU-DIA-5950</t>
  </si>
  <si>
    <t>LOT-10165</t>
  </si>
  <si>
    <t>SKU-PAC-9156</t>
  </si>
  <si>
    <t>LOT-10167</t>
  </si>
  <si>
    <t>SKU-DIA-3871</t>
  </si>
  <si>
    <t>LOT-10168</t>
  </si>
  <si>
    <t>SKU-NUT-2486</t>
  </si>
  <si>
    <t>LOT-10169</t>
  </si>
  <si>
    <t>SKU-PAC-4855</t>
  </si>
  <si>
    <t>LOT-10170</t>
  </si>
  <si>
    <t>SKU-DIA-3320</t>
  </si>
  <si>
    <t>LOT-10171</t>
  </si>
  <si>
    <t>SKU-PAC-7231</t>
  </si>
  <si>
    <t>LOT-10172</t>
  </si>
  <si>
    <t>SKU-COL-6102</t>
  </si>
  <si>
    <t>LOT-10173</t>
  </si>
  <si>
    <t>SKU-DIA-5438</t>
  </si>
  <si>
    <t>LOT-10176</t>
  </si>
  <si>
    <t>SKU-DIA-1163</t>
  </si>
  <si>
    <t>LOT-10177</t>
  </si>
  <si>
    <t>SKU-PAC-3579</t>
  </si>
  <si>
    <t>LOT-10178</t>
  </si>
  <si>
    <t>SKU-DIA-6506</t>
  </si>
  <si>
    <t>LOT-10179</t>
  </si>
  <si>
    <t>SKU-STE-9897</t>
  </si>
  <si>
    <t>LOT-10180</t>
  </si>
  <si>
    <t>SKU-REA-2554</t>
  </si>
  <si>
    <t>LOT-10181</t>
  </si>
  <si>
    <t>SKU-REA-7551</t>
  </si>
  <si>
    <t>LOT-10183</t>
  </si>
  <si>
    <t>SKU-STE-6949</t>
  </si>
  <si>
    <t>LOT-10185</t>
  </si>
  <si>
    <t>SKU-DIA-8704</t>
  </si>
  <si>
    <t>LOT-10186</t>
  </si>
  <si>
    <t>SKU-REA-5330</t>
  </si>
  <si>
    <t>LOT-10188</t>
  </si>
  <si>
    <t>SKU-COL-1170</t>
  </si>
  <si>
    <t>LOT-10189</t>
  </si>
  <si>
    <t>SKU-COL-2726</t>
  </si>
  <si>
    <t>LOT-10192</t>
  </si>
  <si>
    <t>SKU-PAC-8323</t>
  </si>
  <si>
    <t>LOT-10193</t>
  </si>
  <si>
    <t>SKU-PAC-8687</t>
  </si>
  <si>
    <t>LOT-10194</t>
  </si>
  <si>
    <t>SKU-NUT-7467</t>
  </si>
  <si>
    <t>LOT-10195</t>
  </si>
  <si>
    <t>SKU-DIA-4947</t>
  </si>
  <si>
    <t>LOT-10197</t>
  </si>
  <si>
    <t>SKU-PAC-2810</t>
  </si>
  <si>
    <t>LOT-10198</t>
  </si>
  <si>
    <t>SKU-COL-2560</t>
  </si>
  <si>
    <t>LOT-10199</t>
  </si>
  <si>
    <t>SKU-STE-9205</t>
  </si>
  <si>
    <t>LOT-10200</t>
  </si>
  <si>
    <t>SKU-REA-3222</t>
  </si>
  <si>
    <t>LOT-10202</t>
  </si>
  <si>
    <t>SKU-NUT-1224</t>
  </si>
  <si>
    <t>LOT-10204</t>
  </si>
  <si>
    <t>SKU-STE-3888</t>
  </si>
  <si>
    <t>LOT-10205</t>
  </si>
  <si>
    <t>SKU-DIA-2684</t>
  </si>
  <si>
    <t>LOT-10206</t>
  </si>
  <si>
    <t>SKU-DIA-9166</t>
  </si>
  <si>
    <t>LOT-10208</t>
  </si>
  <si>
    <t>SKU-DIA-3080</t>
  </si>
  <si>
    <t>LOT-10209</t>
  </si>
  <si>
    <t>SKU-COL-4767</t>
  </si>
  <si>
    <t>LOT-10210</t>
  </si>
  <si>
    <t>SKU-REA-4859</t>
  </si>
  <si>
    <t>LOT-10211</t>
  </si>
  <si>
    <t>SKU-REA-7875</t>
  </si>
  <si>
    <t>LOT-10212</t>
  </si>
  <si>
    <t>SKU-DIA-1531</t>
  </si>
  <si>
    <t>LOT-10213</t>
  </si>
  <si>
    <t>SKU-STE-4171</t>
  </si>
  <si>
    <t>LOT-10215</t>
  </si>
  <si>
    <t>SKU-DIA-6912</t>
  </si>
  <si>
    <t>LOT-10216</t>
  </si>
  <si>
    <t>SKU-PAC-7315</t>
  </si>
  <si>
    <t>LOT-10217</t>
  </si>
  <si>
    <t>SKU-STE-9584</t>
  </si>
  <si>
    <t>LOT-10219</t>
  </si>
  <si>
    <t>SKU-REA-6779</t>
  </si>
  <si>
    <t>LOT-10220</t>
  </si>
  <si>
    <t>SKU-NUT-6695</t>
  </si>
  <si>
    <t>LOT-10221</t>
  </si>
  <si>
    <t>SKU-DIA-5636</t>
  </si>
  <si>
    <t>LOT-10222</t>
  </si>
  <si>
    <t>SKU-COL-2160</t>
  </si>
  <si>
    <t>LOT-10223</t>
  </si>
  <si>
    <t>SKU-COL-8811</t>
  </si>
  <si>
    <t>LOT-10225</t>
  </si>
  <si>
    <t>SKU-REA-7670</t>
  </si>
  <si>
    <t>LOT-10226</t>
  </si>
  <si>
    <t>SKU-NUT-2391</t>
  </si>
  <si>
    <t>LOT-10227</t>
  </si>
  <si>
    <t>SKU-REA-7636</t>
  </si>
  <si>
    <t>LOT-10228</t>
  </si>
  <si>
    <t>SKU-STE-4482</t>
  </si>
  <si>
    <t>LOT-10230</t>
  </si>
  <si>
    <t>SKU-DIA-5117</t>
  </si>
  <si>
    <t>LOT-10231</t>
  </si>
  <si>
    <t>SKU-REA-7617</t>
  </si>
  <si>
    <t>LOT-10232</t>
  </si>
  <si>
    <t>SKU-DIA-3926</t>
  </si>
  <si>
    <t>LOT-10233</t>
  </si>
  <si>
    <t>SKU-DIA-8834</t>
  </si>
  <si>
    <t>LOT-10234</t>
  </si>
  <si>
    <t>SKU-REA-5274</t>
  </si>
  <si>
    <t>LOT-10235</t>
  </si>
  <si>
    <t>SKU-PAC-8449</t>
  </si>
  <si>
    <t>LOT-10236</t>
  </si>
  <si>
    <t>SKU-COL-6784</t>
  </si>
  <si>
    <t>LOT-10238</t>
  </si>
  <si>
    <t>SKU-DIA-4662</t>
  </si>
  <si>
    <t>LOT-10239</t>
  </si>
  <si>
    <t>SKU-COL-6297</t>
  </si>
  <si>
    <t>LOT-10240</t>
  </si>
  <si>
    <t>LOT-10241</t>
  </si>
  <si>
    <t>SKU-REA-2006</t>
  </si>
  <si>
    <t>LOT-10242</t>
  </si>
  <si>
    <t>SKU-STE-2700</t>
  </si>
  <si>
    <t>LOT-10243</t>
  </si>
  <si>
    <t>SKU-PAC-8583</t>
  </si>
  <si>
    <t>LOT-10245</t>
  </si>
  <si>
    <t>SKU-NUT-7543</t>
  </si>
  <si>
    <t>LOT-10246</t>
  </si>
  <si>
    <t>SKU-PAC-9951</t>
  </si>
  <si>
    <t>LOT-10247</t>
  </si>
  <si>
    <t>SKU-DIA-9013</t>
  </si>
  <si>
    <t>LOT-10248</t>
  </si>
  <si>
    <t>SKU-REA-5388</t>
  </si>
  <si>
    <t>LOT-10249</t>
  </si>
  <si>
    <t>SKU-STE-5225</t>
  </si>
  <si>
    <t>LOT-10250</t>
  </si>
  <si>
    <t>SKU-NUT-9257</t>
  </si>
  <si>
    <t>LOT-10251</t>
  </si>
  <si>
    <t>SKU-NUT-9661</t>
  </si>
  <si>
    <t>SKU-COL-3499</t>
  </si>
  <si>
    <t>LOT-10253</t>
  </si>
  <si>
    <t>SKU-PAC-5591</t>
  </si>
  <si>
    <t>LOT-10254</t>
  </si>
  <si>
    <t>SKU-COL-9041</t>
  </si>
  <si>
    <t>LOT-10256</t>
  </si>
  <si>
    <t>SKU-COL-9042</t>
  </si>
  <si>
    <t>LOT-10257</t>
  </si>
  <si>
    <t>SKU-PAC-7079</t>
  </si>
  <si>
    <t>LOT-10258</t>
  </si>
  <si>
    <t>SKU-PAC-3398</t>
  </si>
  <si>
    <t>LOT-10259</t>
  </si>
  <si>
    <t>SKU-NUT-5851</t>
  </si>
  <si>
    <t>LOT-10260</t>
  </si>
  <si>
    <t>SKU-DIA-2346</t>
  </si>
  <si>
    <t>LOT-10262</t>
  </si>
  <si>
    <t>SKU-COL-5349</t>
  </si>
  <si>
    <t>LOT-10263</t>
  </si>
  <si>
    <t>SKU-REA-7544</t>
  </si>
  <si>
    <t>LOT-10264</t>
  </si>
  <si>
    <t>SKU-COL-9129</t>
  </si>
  <si>
    <t>LOT-10265</t>
  </si>
  <si>
    <t>SKU-NUT-2682</t>
  </si>
  <si>
    <t>LOT-10267</t>
  </si>
  <si>
    <t>SKU-PAC-3280</t>
  </si>
  <si>
    <t>LOT-10268</t>
  </si>
  <si>
    <t>SKU-DIA-1068</t>
  </si>
  <si>
    <t>LOT-10269</t>
  </si>
  <si>
    <t>SKU-COL-1507</t>
  </si>
  <si>
    <t>LOT-10270</t>
  </si>
  <si>
    <t>SKU-STE-9298</t>
  </si>
  <si>
    <t>LOT-10271</t>
  </si>
  <si>
    <t>SKU-COL-6481</t>
  </si>
  <si>
    <t>LOT-10272</t>
  </si>
  <si>
    <t>SKU-REA-9273</t>
  </si>
  <si>
    <t>LOT-10273</t>
  </si>
  <si>
    <t>SKU-REA-8058</t>
  </si>
  <si>
    <t>LOT-10274</t>
  </si>
  <si>
    <t>SKU-REA-2134</t>
  </si>
  <si>
    <t>SKU-ORA-8114</t>
  </si>
  <si>
    <t>LOT-10279</t>
  </si>
  <si>
    <t>SKU-PAC-8957</t>
  </si>
  <si>
    <t>LOT-10280</t>
  </si>
  <si>
    <t>SKU-REA-8308</t>
  </si>
  <si>
    <t>LOT-10281</t>
  </si>
  <si>
    <t>SKU-STE-6241</t>
  </si>
  <si>
    <t>LOT-10284</t>
  </si>
  <si>
    <t>SKU-PAC-2433</t>
  </si>
  <si>
    <t>LOT-10285</t>
  </si>
  <si>
    <t>SKU-REA-4439</t>
  </si>
  <si>
    <t>LOT-10286</t>
  </si>
  <si>
    <t>SKU-PAC-4258</t>
  </si>
  <si>
    <t>LOT-10287</t>
  </si>
  <si>
    <t>SKU-PAC-8939</t>
  </si>
  <si>
    <t>LOT-10288</t>
  </si>
  <si>
    <t>SKU-DIA-5118</t>
  </si>
  <si>
    <t>LOT-10291</t>
  </si>
  <si>
    <t>SKU-DIA-2865</t>
  </si>
  <si>
    <t>LOT-10293</t>
  </si>
  <si>
    <t>SKU-COL-9844</t>
  </si>
  <si>
    <t>LOT-10297</t>
  </si>
  <si>
    <t>SKU-REA-5597</t>
  </si>
  <si>
    <t>LOT-10298</t>
  </si>
  <si>
    <t>SKU-COL-8395</t>
  </si>
  <si>
    <t>LOT-10299</t>
  </si>
  <si>
    <t>SKU-NUT-5858</t>
  </si>
  <si>
    <t>LOT-10300</t>
  </si>
  <si>
    <t>SKU-NUT-4928</t>
  </si>
  <si>
    <t>LOT-10301</t>
  </si>
  <si>
    <t>SKU-NUT-9569</t>
  </si>
  <si>
    <t>LOT-10302</t>
  </si>
  <si>
    <t>SKU-DIA-4459</t>
  </si>
  <si>
    <t>LOT-10305</t>
  </si>
  <si>
    <t>SKU-NUT-4684</t>
  </si>
  <si>
    <t>LOT-10306</t>
  </si>
  <si>
    <t>SKU-PAC-9146</t>
  </si>
  <si>
    <t>LOT-10308</t>
  </si>
  <si>
    <t>SKU-COL-7198</t>
  </si>
  <si>
    <t>LOT-10311</t>
  </si>
  <si>
    <t>SKU-DIA-1725</t>
  </si>
  <si>
    <t>LOT-10312</t>
  </si>
  <si>
    <t>SKU-REA-3935</t>
  </si>
  <si>
    <t>LOT-10313</t>
  </si>
  <si>
    <t>SKU-NUT-2950</t>
  </si>
  <si>
    <t>LOT-10314</t>
  </si>
  <si>
    <t>SKU-DIA-5752</t>
  </si>
  <si>
    <t>LOT-10316</t>
  </si>
  <si>
    <t>SKU-PAC-9219</t>
  </si>
  <si>
    <t>LOT-10317</t>
  </si>
  <si>
    <t>SKU-NUT-4251</t>
  </si>
  <si>
    <t>LOT-10318</t>
  </si>
  <si>
    <t>SKU-DIA-7501</t>
  </si>
  <si>
    <t>LOT-10319</t>
  </si>
  <si>
    <t>SKU-COL-1215</t>
  </si>
  <si>
    <t>LOT-10320</t>
  </si>
  <si>
    <t>SKU-STE-1675</t>
  </si>
  <si>
    <t>LOT-10321</t>
  </si>
  <si>
    <t>SKU-PAC-3896</t>
  </si>
  <si>
    <t>SKU-NUT-3295</t>
  </si>
  <si>
    <t>LOT-10323</t>
  </si>
  <si>
    <t>SKU-NUT-5579</t>
  </si>
  <si>
    <t>LOT-10324</t>
  </si>
  <si>
    <t>SKU-NUT-1495</t>
  </si>
  <si>
    <t>LOT-10325</t>
  </si>
  <si>
    <t>SKU-REA-4580</t>
  </si>
  <si>
    <t>LOT-10329</t>
  </si>
  <si>
    <t>SKU-NUT-8740</t>
  </si>
  <si>
    <t>LOT-10330</t>
  </si>
  <si>
    <t>SKU-REA-3334</t>
  </si>
  <si>
    <t>LOT-10331</t>
  </si>
  <si>
    <t>SKU-COL-3318</t>
  </si>
  <si>
    <t>LOT-10332</t>
  </si>
  <si>
    <t>SKU-PAC-6133</t>
  </si>
  <si>
    <t>LOT-10333</t>
  </si>
  <si>
    <t>SKU-COL-8150</t>
  </si>
  <si>
    <t>LOT-10334</t>
  </si>
  <si>
    <t>SKU-REA-2683</t>
  </si>
  <si>
    <t>LOT-10335</t>
  </si>
  <si>
    <t>SKU-DIA-7978</t>
  </si>
  <si>
    <t>LOT-10336</t>
  </si>
  <si>
    <t>SKU-DIA-8159</t>
  </si>
  <si>
    <t>LOT-10337</t>
  </si>
  <si>
    <t>SKU-NUT-4576</t>
  </si>
  <si>
    <t>LOT-10338</t>
  </si>
  <si>
    <t>SKU-STE-7823</t>
  </si>
  <si>
    <t>LOT-10339</t>
  </si>
  <si>
    <t>SKU-PAC-6281</t>
  </si>
  <si>
    <t>LOT-10340</t>
  </si>
  <si>
    <t>SKU-PAC-7004</t>
  </si>
  <si>
    <t>LOT-10341</t>
  </si>
  <si>
    <t>SKU-DIA-1329</t>
  </si>
  <si>
    <t>LOT-10343</t>
  </si>
  <si>
    <t>SKU-COL-6199</t>
  </si>
  <si>
    <t>LOT-10344</t>
  </si>
  <si>
    <t>LOT-10345</t>
  </si>
  <si>
    <t>SKU-PAC-9021</t>
  </si>
  <si>
    <t>LOT-10346</t>
  </si>
  <si>
    <t>SKU-STE-8023</t>
  </si>
  <si>
    <t>LOT-10348</t>
  </si>
  <si>
    <t>SKU-DIA-2725</t>
  </si>
  <si>
    <t>LOT-10349</t>
  </si>
  <si>
    <t>SKU-COL-7218</t>
  </si>
  <si>
    <t>LOT-10350</t>
  </si>
  <si>
    <t>SKU-REA-6305</t>
  </si>
  <si>
    <t>LOT-10351</t>
  </si>
  <si>
    <t>SKU-COL-7845</t>
  </si>
  <si>
    <t>LOT-10353</t>
  </si>
  <si>
    <t>SKU-COL-9053</t>
  </si>
  <si>
    <t>LOT-10354</t>
  </si>
  <si>
    <t>SKU-STE-9120</t>
  </si>
  <si>
    <t>LOT-10355</t>
  </si>
  <si>
    <t>SKU-REA-2904</t>
  </si>
  <si>
    <t>LOT-10356</t>
  </si>
  <si>
    <t>SKU-NUT-6124</t>
  </si>
  <si>
    <t>LOT-10357</t>
  </si>
  <si>
    <t>SKU-PAC-1146</t>
  </si>
  <si>
    <t>LOT-10358</t>
  </si>
  <si>
    <t>SKU-PAC-1972</t>
  </si>
  <si>
    <t>LOT-10359</t>
  </si>
  <si>
    <t>SKU-PAC-5884</t>
  </si>
  <si>
    <t>LOT-10361</t>
  </si>
  <si>
    <t>SKU-DIA-5683</t>
  </si>
  <si>
    <t>LOT-10362</t>
  </si>
  <si>
    <t>SKU-DIA-5649</t>
  </si>
  <si>
    <t>LOT-10363</t>
  </si>
  <si>
    <t>SKU-COL-3123</t>
  </si>
  <si>
    <t>LOT-10364</t>
  </si>
  <si>
    <t>SKU-STE-7870</t>
  </si>
  <si>
    <t>LOT-10366</t>
  </si>
  <si>
    <t>SKU-REA-3411</t>
  </si>
  <si>
    <t>LOT-10367</t>
  </si>
  <si>
    <t>SKU-STE-6297</t>
  </si>
  <si>
    <t>LOT-10368</t>
  </si>
  <si>
    <t>SKU-PAC-4962</t>
  </si>
  <si>
    <t>LOT-10369</t>
  </si>
  <si>
    <t>SKU-COL-6897</t>
  </si>
  <si>
    <t>LOT-10370</t>
  </si>
  <si>
    <t>SKU-COL-8047</t>
  </si>
  <si>
    <t>LOT-10371</t>
  </si>
  <si>
    <t>SKU-DIA-4129</t>
  </si>
  <si>
    <t>LOT-10372</t>
  </si>
  <si>
    <t>SKU-REA-1198</t>
  </si>
  <si>
    <t>LOT-10374</t>
  </si>
  <si>
    <t>SKU-NUT-6079</t>
  </si>
  <si>
    <t>LOT-10375</t>
  </si>
  <si>
    <t>SKU-DIA-9714</t>
  </si>
  <si>
    <t>LOT-10376</t>
  </si>
  <si>
    <t>SKU-COL-5436</t>
  </si>
  <si>
    <t>LOT-10377</t>
  </si>
  <si>
    <t>SKU-DIA-3500</t>
  </si>
  <si>
    <t>LOT-10378</t>
  </si>
  <si>
    <t>SKU-PAC-6111</t>
  </si>
  <si>
    <t>LOT-10379</t>
  </si>
  <si>
    <t>SKU-STE-5787</t>
  </si>
  <si>
    <t>LOT-10381</t>
  </si>
  <si>
    <t>SKU-NUT-9758</t>
  </si>
  <si>
    <t>LOT-10382</t>
  </si>
  <si>
    <t>SKU-DIA-1739</t>
  </si>
  <si>
    <t>LOT-10385</t>
  </si>
  <si>
    <t>SKU-NUT-5641</t>
  </si>
  <si>
    <t>LOT-10386</t>
  </si>
  <si>
    <t>SKU-DIA-9156</t>
  </si>
  <si>
    <t>LOT-10387</t>
  </si>
  <si>
    <t>SKU-REA-7177</t>
  </si>
  <si>
    <t>LOT-10390</t>
  </si>
  <si>
    <t>SKU-REA-1988</t>
  </si>
  <si>
    <t>LOT-10393</t>
  </si>
  <si>
    <t>SKU-STE-3013</t>
  </si>
  <si>
    <t>LOT-10397</t>
  </si>
  <si>
    <t>SKU-PAC-6378</t>
  </si>
  <si>
    <t>LOT-10398</t>
  </si>
  <si>
    <t>SKU-REA-2645</t>
  </si>
  <si>
    <t>LOT-10400</t>
  </si>
  <si>
    <t>SKU-COL-3521</t>
  </si>
  <si>
    <t>LOT-10401</t>
  </si>
  <si>
    <t>SKU-REA-7697</t>
  </si>
  <si>
    <t>LOT-10402</t>
  </si>
  <si>
    <t>SKU-COL-9058</t>
  </si>
  <si>
    <t>LOT-10403</t>
  </si>
  <si>
    <t>SKU-PAC-8592</t>
  </si>
  <si>
    <t>LOT-10404</t>
  </si>
  <si>
    <t>SKU-COL-1276</t>
  </si>
  <si>
    <t>LOT-10405</t>
  </si>
  <si>
    <t>SKU-COL-8320</t>
  </si>
  <si>
    <t>SKU-ORA-6466</t>
  </si>
  <si>
    <t>LOT-10407</t>
  </si>
  <si>
    <t>SKU-REA-7053</t>
  </si>
  <si>
    <t>LOT-10408</t>
  </si>
  <si>
    <t>SKU-PAC-1801</t>
  </si>
  <si>
    <t>LOT-10409</t>
  </si>
  <si>
    <t>SKU-DIA-3457</t>
  </si>
  <si>
    <t>LOT-10410</t>
  </si>
  <si>
    <t>SKU-REA-3704</t>
  </si>
  <si>
    <t>LOT-10411</t>
  </si>
  <si>
    <t>SKU-COL-1451</t>
  </si>
  <si>
    <t>LOT-10412</t>
  </si>
  <si>
    <t>SKU-REA-8152</t>
  </si>
  <si>
    <t>LOT-10413</t>
  </si>
  <si>
    <t>SKU-PAC-2882</t>
  </si>
  <si>
    <t>LOT-10414</t>
  </si>
  <si>
    <t>SKU-PAC-3239</t>
  </si>
  <si>
    <t>LOT-10415</t>
  </si>
  <si>
    <t>SKU-PAC-9451</t>
  </si>
  <si>
    <t>LOT-10417</t>
  </si>
  <si>
    <t>SKU-REA-5616</t>
  </si>
  <si>
    <t>LOT-10418</t>
  </si>
  <si>
    <t>SKU-DIA-1040</t>
  </si>
  <si>
    <t>LOT-10419</t>
  </si>
  <si>
    <t>SKU-PAC-4816</t>
  </si>
  <si>
    <t>LOT-10421</t>
  </si>
  <si>
    <t>SKU-PAC-3916</t>
  </si>
  <si>
    <t>LOT-10423</t>
  </si>
  <si>
    <t>SKU-DIA-6118</t>
  </si>
  <si>
    <t>LOT-10425</t>
  </si>
  <si>
    <t>SKU-REA-9156</t>
  </si>
  <si>
    <t>LOT-10426</t>
  </si>
  <si>
    <t>SKU-PAC-2106</t>
  </si>
  <si>
    <t>LOT-10428</t>
  </si>
  <si>
    <t>SKU-COL-4325</t>
  </si>
  <si>
    <t>LOT-10429</t>
  </si>
  <si>
    <t>SKU-COL-1103</t>
  </si>
  <si>
    <t>LOT-10432</t>
  </si>
  <si>
    <t>SKU-COL-8613</t>
  </si>
  <si>
    <t>LOT-10433</t>
  </si>
  <si>
    <t>SKU-PAC-7170</t>
  </si>
  <si>
    <t>LOT-10436</t>
  </si>
  <si>
    <t>SKU-NUT-9735</t>
  </si>
  <si>
    <t>LOT-10437</t>
  </si>
  <si>
    <t>SKU-PAC-9931</t>
  </si>
  <si>
    <t>LOT-10439</t>
  </si>
  <si>
    <t>SKU-DIA-6481</t>
  </si>
  <si>
    <t>LOT-10440</t>
  </si>
  <si>
    <t>SKU-COL-6735</t>
  </si>
  <si>
    <t>LOT-10441</t>
  </si>
  <si>
    <t>SKU-NUT-3755</t>
  </si>
  <si>
    <t>LOT-10442</t>
  </si>
  <si>
    <t>SKU-DIA-8808</t>
  </si>
  <si>
    <t>LOT-10443</t>
  </si>
  <si>
    <t>SKU-COL-8104</t>
  </si>
  <si>
    <t>LOT-10444</t>
  </si>
  <si>
    <t>SKU-REA-5655</t>
  </si>
  <si>
    <t>LOT-10446</t>
  </si>
  <si>
    <t>SKU-COL-6937</t>
  </si>
  <si>
    <t>LOT-10447</t>
  </si>
  <si>
    <t>SKU-REA-6419</t>
  </si>
  <si>
    <t>LOT-10448</t>
  </si>
  <si>
    <t>SKU-REA-6345</t>
  </si>
  <si>
    <t>LOT-10449</t>
  </si>
  <si>
    <t>SKU-PAC-4485</t>
  </si>
  <si>
    <t>LOT-10451</t>
  </si>
  <si>
    <t>SKU-PAC-1531</t>
  </si>
  <si>
    <t>LOT-10452</t>
  </si>
  <si>
    <t>SKU-DIA-1055</t>
  </si>
  <si>
    <t>LOT-10453</t>
  </si>
  <si>
    <t>SKU-STE-7481</t>
  </si>
  <si>
    <t>LOT-10454</t>
  </si>
  <si>
    <t>SKU-COL-7067</t>
  </si>
  <si>
    <t>LOT-10455</t>
  </si>
  <si>
    <t>SKU-STE-4826</t>
  </si>
  <si>
    <t>LOT-10456</t>
  </si>
  <si>
    <t>SKU-DIA-8678</t>
  </si>
  <si>
    <t>LOT-10458</t>
  </si>
  <si>
    <t>SKU-REA-3153</t>
  </si>
  <si>
    <t>LOT-10460</t>
  </si>
  <si>
    <t>SKU-DIA-9315</t>
  </si>
  <si>
    <t>LOT-10461</t>
  </si>
  <si>
    <t>SKU-PAC-1706</t>
  </si>
  <si>
    <t>LOT-10462</t>
  </si>
  <si>
    <t>SKU-COL-2586</t>
  </si>
  <si>
    <t>LOT-10463</t>
  </si>
  <si>
    <t>SKU-ORA-2705</t>
  </si>
  <si>
    <t>LOT-10465</t>
  </si>
  <si>
    <t>SKU-COL-6477</t>
  </si>
  <si>
    <t>LOT-10466</t>
  </si>
  <si>
    <t>SKU-DIA-6706</t>
  </si>
  <si>
    <t>LOT-10467</t>
  </si>
  <si>
    <t>SKU-COL-8241</t>
  </si>
  <si>
    <t>LOT-10468</t>
  </si>
  <si>
    <t>SKU-REA-9313</t>
  </si>
  <si>
    <t>LOT-10469</t>
  </si>
  <si>
    <t>SKU-PAC-3213</t>
  </si>
  <si>
    <t>LOT-10470</t>
  </si>
  <si>
    <t>SKU-COL-4386</t>
  </si>
  <si>
    <t>LOT-10473</t>
  </si>
  <si>
    <t>SKU-PAC-8185</t>
  </si>
  <si>
    <t>LOT-10474</t>
  </si>
  <si>
    <t>SKU-COL-3848</t>
  </si>
  <si>
    <t>LOT-10475</t>
  </si>
  <si>
    <t>SKU-REA-3533</t>
  </si>
  <si>
    <t>LOT-10476</t>
  </si>
  <si>
    <t>SKU-STE-3756</t>
  </si>
  <si>
    <t>LOT-10477</t>
  </si>
  <si>
    <t>SKU-ORA-1613</t>
  </si>
  <si>
    <t>LOT-10478</t>
  </si>
  <si>
    <t>SKU-DIA-9610</t>
  </si>
  <si>
    <t>LOT-10479</t>
  </si>
  <si>
    <t>SKU-PAC-8231</t>
  </si>
  <si>
    <t>LOT-10480</t>
  </si>
  <si>
    <t>SKU-REA-3550</t>
  </si>
  <si>
    <t>LOT-10481</t>
  </si>
  <si>
    <t>SKU-DIA-7894</t>
  </si>
  <si>
    <t>LOT-10483</t>
  </si>
  <si>
    <t>SKU-COL-1720</t>
  </si>
  <si>
    <t>LOT-10484</t>
  </si>
  <si>
    <t>SKU-DIA-6457</t>
  </si>
  <si>
    <t>LOT-10485</t>
  </si>
  <si>
    <t>SKU-COL-1929</t>
  </si>
  <si>
    <t>LOT-10487</t>
  </si>
  <si>
    <t>SKU-PAC-6819</t>
  </si>
  <si>
    <t>LOT-10489</t>
  </si>
  <si>
    <t>SKU-COL-8971</t>
  </si>
  <si>
    <t>LOT-10491</t>
  </si>
  <si>
    <t>SKU-DIA-6058</t>
  </si>
  <si>
    <t>LOT-10492</t>
  </si>
  <si>
    <t>SKU-PAC-7504</t>
  </si>
  <si>
    <t>LOT-10493</t>
  </si>
  <si>
    <t>SKU-DIA-1146</t>
  </si>
  <si>
    <t>LOT-10494</t>
  </si>
  <si>
    <t>SKU-NUT-8737</t>
  </si>
  <si>
    <t>LOT-10496</t>
  </si>
  <si>
    <t>SKU-REA-8790</t>
  </si>
  <si>
    <t>LOT-10497</t>
  </si>
  <si>
    <t>SKU-PAC-3211</t>
  </si>
  <si>
    <t>LOT-10498</t>
  </si>
  <si>
    <t>SKU-REA-2400</t>
  </si>
  <si>
    <t>LOT-10499</t>
  </si>
  <si>
    <t>SKU-PAC-7742</t>
  </si>
  <si>
    <t>LOT-10500</t>
  </si>
  <si>
    <t>SKU-DIA-6244</t>
  </si>
  <si>
    <t>LOT-10501</t>
  </si>
  <si>
    <t>SKU-COL-2569</t>
  </si>
  <si>
    <t>LOT-10503</t>
  </si>
  <si>
    <t>SKU-REA-8277</t>
  </si>
  <si>
    <t>LOT-10504</t>
  </si>
  <si>
    <t>SKU-NUT-1021</t>
  </si>
  <si>
    <t>LOT-10505</t>
  </si>
  <si>
    <t>SKU-PAC-7421</t>
  </si>
  <si>
    <t>SKU-COL-2293</t>
  </si>
  <si>
    <t>LOT-10507</t>
  </si>
  <si>
    <t>SKU-PAC-1141</t>
  </si>
  <si>
    <t>LOT-10509</t>
  </si>
  <si>
    <t>SKU-DIA-4713</t>
  </si>
  <si>
    <t>LOT-10511</t>
  </si>
  <si>
    <t>SKU-REA-7225</t>
  </si>
  <si>
    <t>LOT-10512</t>
  </si>
  <si>
    <t>SKU-PAC-8949</t>
  </si>
  <si>
    <t>LOT-10514</t>
  </si>
  <si>
    <t>SKU-DIA-5227</t>
  </si>
  <si>
    <t>LOT-10515</t>
  </si>
  <si>
    <t>SKU-DIA-5897</t>
  </si>
  <si>
    <t>LOT-10516</t>
  </si>
  <si>
    <t>SKU-REA-7056</t>
  </si>
  <si>
    <t>LOT-10517</t>
  </si>
  <si>
    <t>SKU-DIA-3656</t>
  </si>
  <si>
    <t>LOT-10519</t>
  </si>
  <si>
    <t>SKU-COL-1329</t>
  </si>
  <si>
    <t>LOT-10520</t>
  </si>
  <si>
    <t>SKU-NUT-2416</t>
  </si>
  <si>
    <t>SKU-STE-5642</t>
  </si>
  <si>
    <t>LOT-10523</t>
  </si>
  <si>
    <t>SKU-COL-2619</t>
  </si>
  <si>
    <t>SKU-COL-7897</t>
  </si>
  <si>
    <t>LOT-10525</t>
  </si>
  <si>
    <t>SKU-PAC-5485</t>
  </si>
  <si>
    <t>LOT-10526</t>
  </si>
  <si>
    <t>SKU-PAC-4129</t>
  </si>
  <si>
    <t>LOT-10527</t>
  </si>
  <si>
    <t>SKU-DIA-7647</t>
  </si>
  <si>
    <t>SKU-ORA-1272</t>
  </si>
  <si>
    <t>LOT-10529</t>
  </si>
  <si>
    <t>SKU-PAC-5218</t>
  </si>
  <si>
    <t>LOT-10530</t>
  </si>
  <si>
    <t>SKU-COL-2929</t>
  </si>
  <si>
    <t>LOT-10531</t>
  </si>
  <si>
    <t>SKU-REA-9964</t>
  </si>
  <si>
    <t>LOT-10532</t>
  </si>
  <si>
    <t>SKU-DIA-2515</t>
  </si>
  <si>
    <t>LOT-10533</t>
  </si>
  <si>
    <t>SKU-PAC-8662</t>
  </si>
  <si>
    <t>LOT-10534</t>
  </si>
  <si>
    <t>SKU-DIA-8783</t>
  </si>
  <si>
    <t>LOT-10535</t>
  </si>
  <si>
    <t>SKU-PAC-7083</t>
  </si>
  <si>
    <t>LOT-10536</t>
  </si>
  <si>
    <t>SKU-COL-3078</t>
  </si>
  <si>
    <t>LOT-10537</t>
  </si>
  <si>
    <t>SKU-PAC-3876</t>
  </si>
  <si>
    <t>LOT-10538</t>
  </si>
  <si>
    <t>SKU-STE-6422</t>
  </si>
  <si>
    <t>LOT-10540</t>
  </si>
  <si>
    <t>SKU-NUT-6201</t>
  </si>
  <si>
    <t>LOT-10542</t>
  </si>
  <si>
    <t>SKU-ORA-9827</t>
  </si>
  <si>
    <t>LOT-10544</t>
  </si>
  <si>
    <t>SKU-REA-8352</t>
  </si>
  <si>
    <t>LOT-10545</t>
  </si>
  <si>
    <t>SKU-COL-8223</t>
  </si>
  <si>
    <t>LOT-10547</t>
  </si>
  <si>
    <t>SKU-PAC-5793</t>
  </si>
  <si>
    <t>LOT-10548</t>
  </si>
  <si>
    <t>SKU-COL-3947</t>
  </si>
  <si>
    <t>LOT-10549</t>
  </si>
  <si>
    <t>SKU-PAC-3913</t>
  </si>
  <si>
    <t>LOT-10550</t>
  </si>
  <si>
    <t>SKU-ORA-8095</t>
  </si>
  <si>
    <t>LOT-10552</t>
  </si>
  <si>
    <t>SKU-NUT-7558</t>
  </si>
  <si>
    <t>LOT-10553</t>
  </si>
  <si>
    <t>SKU-STE-1750</t>
  </si>
  <si>
    <t>LOT-10554</t>
  </si>
  <si>
    <t>SKU-STE-4351</t>
  </si>
  <si>
    <t>LOT-10555</t>
  </si>
  <si>
    <t>SKU-REA-4241</t>
  </si>
  <si>
    <t>LOT-10556</t>
  </si>
  <si>
    <t>SKU-DIA-5828</t>
  </si>
  <si>
    <t>LOT-10557</t>
  </si>
  <si>
    <t>SKU-ORA-6014</t>
  </si>
  <si>
    <t>LOT-10558</t>
  </si>
  <si>
    <t>SKU-NUT-3018</t>
  </si>
  <si>
    <t>LOT-10559</t>
  </si>
  <si>
    <t>SKU-REA-4312</t>
  </si>
  <si>
    <t>LOT-10560</t>
  </si>
  <si>
    <t>SKU-ORA-8673</t>
  </si>
  <si>
    <t>LOT-10561</t>
  </si>
  <si>
    <t>SKU-COL-9826</t>
  </si>
  <si>
    <t>LOT-10562</t>
  </si>
  <si>
    <t>SKU-NUT-2777</t>
  </si>
  <si>
    <t>LOT-10563</t>
  </si>
  <si>
    <t>SKU-COL-7472</t>
  </si>
  <si>
    <t>LOT-10566</t>
  </si>
  <si>
    <t>SKU-ORA-5147</t>
  </si>
  <si>
    <t>LOT-10567</t>
  </si>
  <si>
    <t>SKU-STE-3685</t>
  </si>
  <si>
    <t>LOT-10568</t>
  </si>
  <si>
    <t>SKU-PAC-4452</t>
  </si>
  <si>
    <t>LOT-10569</t>
  </si>
  <si>
    <t>SKU-ORA-3008</t>
  </si>
  <si>
    <t>LOT-10570</t>
  </si>
  <si>
    <t>SKU-REA-6534</t>
  </si>
  <si>
    <t>LOT-10571</t>
  </si>
  <si>
    <t>SKU-REA-3240</t>
  </si>
  <si>
    <t>LOT-10572</t>
  </si>
  <si>
    <t>SKU-REA-5495</t>
  </si>
  <si>
    <t>LOT-10573</t>
  </si>
  <si>
    <t>SKU-REA-2024</t>
  </si>
  <si>
    <t>LOT-10574</t>
  </si>
  <si>
    <t>SKU-COL-4774</t>
  </si>
  <si>
    <t>LOT-10575</t>
  </si>
  <si>
    <t>SKU-REA-2066</t>
  </si>
  <si>
    <t>LOT-10577</t>
  </si>
  <si>
    <t>SKU-REA-8322</t>
  </si>
  <si>
    <t>LOT-10579</t>
  </si>
  <si>
    <t>SKU-NUT-3157</t>
  </si>
  <si>
    <t>LOT-10580</t>
  </si>
  <si>
    <t>SKU-REA-4100</t>
  </si>
  <si>
    <t>LOT-10581</t>
  </si>
  <si>
    <t>SKU-DIA-6937</t>
  </si>
  <si>
    <t>LOT-10582</t>
  </si>
  <si>
    <t>SKU-NUT-4835</t>
  </si>
  <si>
    <t>LOT-10583</t>
  </si>
  <si>
    <t>SKU-ORA-5162</t>
  </si>
  <si>
    <t>LOT-10584</t>
  </si>
  <si>
    <t>SKU-ORA-6490</t>
  </si>
  <si>
    <t>LOT-10585</t>
  </si>
  <si>
    <t>SKU-PAC-6946</t>
  </si>
  <si>
    <t>LOT-10586</t>
  </si>
  <si>
    <t>SKU-PAC-4574</t>
  </si>
  <si>
    <t>LOT-10587</t>
  </si>
  <si>
    <t>SKU-STE-6575</t>
  </si>
  <si>
    <t>LOT-10588</t>
  </si>
  <si>
    <t>LOT-10589</t>
  </si>
  <si>
    <t>SKU-PAC-2917</t>
  </si>
  <si>
    <t>LOT-10590</t>
  </si>
  <si>
    <t>SKU-PAC-2562</t>
  </si>
  <si>
    <t>LOT-10591</t>
  </si>
  <si>
    <t>SKU-STE-5913</t>
  </si>
  <si>
    <t>LOT-10592</t>
  </si>
  <si>
    <t>SKU-REA-5682</t>
  </si>
  <si>
    <t>LOT-10593</t>
  </si>
  <si>
    <t>SKU-PAC-7975</t>
  </si>
  <si>
    <t>LOT-10594</t>
  </si>
  <si>
    <t>SKU-REA-9116</t>
  </si>
  <si>
    <t>LOT-10595</t>
  </si>
  <si>
    <t>SKU-ORA-9426</t>
  </si>
  <si>
    <t>LOT-10596</t>
  </si>
  <si>
    <t>SKU-REA-6021</t>
  </si>
  <si>
    <t>LOT-10597</t>
  </si>
  <si>
    <t>SKU-DIA-1476</t>
  </si>
  <si>
    <t>LOT-10598</t>
  </si>
  <si>
    <t>SKU-ORA-6961</t>
  </si>
  <si>
    <t>LOT-10599</t>
  </si>
  <si>
    <t>SKU-DIA-4765</t>
  </si>
  <si>
    <t>TOTAL</t>
  </si>
  <si>
    <t>Employee_ID</t>
  </si>
  <si>
    <t>Name</t>
  </si>
  <si>
    <t>Title</t>
  </si>
  <si>
    <t>Department</t>
  </si>
  <si>
    <t>Can_Onboard_Vendors</t>
  </si>
  <si>
    <t>Can_Approve_Payments</t>
  </si>
  <si>
    <t>Can_Initiate_Payments</t>
  </si>
  <si>
    <t>Access_Granted_Date</t>
  </si>
  <si>
    <t>Onb</t>
  </si>
  <si>
    <t>Appr</t>
  </si>
  <si>
    <t>Init</t>
  </si>
  <si>
    <t>Appr+Init (SoD)</t>
  </si>
  <si>
    <t>Onboard+Init (fraud)</t>
  </si>
  <si>
    <t>All-Three (toxic)</t>
  </si>
  <si>
    <t>Dup_Record</t>
  </si>
  <si>
    <t>Any_SoD_Conflict</t>
  </si>
  <si>
    <t>EMP-1000</t>
  </si>
  <si>
    <t>Kyle Voss</t>
  </si>
  <si>
    <t>Controller</t>
  </si>
  <si>
    <t>Controllership</t>
  </si>
  <si>
    <t>No</t>
  </si>
  <si>
    <t>Yes</t>
  </si>
  <si>
    <t>EMP-1001</t>
  </si>
  <si>
    <t>Ben Quinn</t>
  </si>
  <si>
    <t>EMP-1002</t>
  </si>
  <si>
    <t>Chloe Vance</t>
  </si>
  <si>
    <t>Treasury Analyst</t>
  </si>
  <si>
    <t>Treasury</t>
  </si>
  <si>
    <t>EMP-1003</t>
  </si>
  <si>
    <t>Rosa Ames</t>
  </si>
  <si>
    <t>AP Manager</t>
  </si>
  <si>
    <t>Accounts Payable</t>
  </si>
  <si>
    <t>EMP-1004</t>
  </si>
  <si>
    <t>Jon Bauer</t>
  </si>
  <si>
    <t>AP Clerk</t>
  </si>
  <si>
    <t>EMP-1005</t>
  </si>
  <si>
    <t>Rosa Patel</t>
  </si>
  <si>
    <t>EMP-1006</t>
  </si>
  <si>
    <t>Vera Patel</t>
  </si>
  <si>
    <t>Procurement Manager</t>
  </si>
  <si>
    <t>Procurement</t>
  </si>
  <si>
    <t>EMP-1007</t>
  </si>
  <si>
    <t>Owen Osei</t>
  </si>
  <si>
    <t>GL Accountant</t>
  </si>
  <si>
    <t>General Ledger</t>
  </si>
  <si>
    <t>EMP-1008</t>
  </si>
  <si>
    <t>Seth Ames</t>
  </si>
  <si>
    <t>EMP-1009</t>
  </si>
  <si>
    <t>Mona Ames</t>
  </si>
  <si>
    <t>EMP-1010</t>
  </si>
  <si>
    <t>Hugo Hale</t>
  </si>
  <si>
    <t>Assistant Controller</t>
  </si>
  <si>
    <t>EMP-1011</t>
  </si>
  <si>
    <t>Paul Farah</t>
  </si>
  <si>
    <t>EMP-1012</t>
  </si>
  <si>
    <t>Lena Ford</t>
  </si>
  <si>
    <t>EMP-1013</t>
  </si>
  <si>
    <t>Ben Webb</t>
  </si>
  <si>
    <t>EMP-1014</t>
  </si>
  <si>
    <t>Hugo Whitfield</t>
  </si>
  <si>
    <t>EMP-1015</t>
  </si>
  <si>
    <t>Iris Carter</t>
  </si>
  <si>
    <t>EMP-1016</t>
  </si>
  <si>
    <t>Seth Vance</t>
  </si>
  <si>
    <t>EMP-1017</t>
  </si>
  <si>
    <t>Zoe Marsh</t>
  </si>
  <si>
    <t>Sourcing Lead</t>
  </si>
  <si>
    <t>EMP-1018</t>
  </si>
  <si>
    <t>Diego Carter</t>
  </si>
  <si>
    <t>EMP-1019</t>
  </si>
  <si>
    <t>Tom Sato</t>
  </si>
  <si>
    <t>EMP-1020</t>
  </si>
  <si>
    <t>Ravi Frost</t>
  </si>
  <si>
    <t>EMP-1021</t>
  </si>
  <si>
    <t>Nate Lund</t>
  </si>
  <si>
    <t>EMP-1022</t>
  </si>
  <si>
    <t>Rosa Holt</t>
  </si>
  <si>
    <t>EMP-1023</t>
  </si>
  <si>
    <t>Noah Vance</t>
  </si>
  <si>
    <t>EMP-1024</t>
  </si>
  <si>
    <t>Hugo Nguyen</t>
  </si>
  <si>
    <t>EMP-1025</t>
  </si>
  <si>
    <t>Ravi Sato</t>
  </si>
  <si>
    <t>EMP-1026</t>
  </si>
  <si>
    <t>Chloe Bauer</t>
  </si>
  <si>
    <t>EMP-1027</t>
  </si>
  <si>
    <t>Chloe Ames</t>
  </si>
  <si>
    <t>AP Specialist</t>
  </si>
  <si>
    <t>EMP-1028</t>
  </si>
  <si>
    <t>Grace Osei</t>
  </si>
  <si>
    <t>EMP-1029</t>
  </si>
  <si>
    <t>Omar Devi</t>
  </si>
  <si>
    <t>EMP-1030</t>
  </si>
  <si>
    <t>Iris Patel</t>
  </si>
  <si>
    <t>EMP-1031</t>
  </si>
  <si>
    <t>Iris Voss</t>
  </si>
  <si>
    <t>EMP-1032</t>
  </si>
  <si>
    <t>Mona Nguyen</t>
  </si>
  <si>
    <t>EMP-1033</t>
  </si>
  <si>
    <t>Seth Nguyen</t>
  </si>
  <si>
    <t>EMP-1034</t>
  </si>
  <si>
    <t>Ivan Quinn</t>
  </si>
  <si>
    <t>EMP-1035</t>
  </si>
  <si>
    <t>Kyle Vance</t>
  </si>
  <si>
    <t>EMP-1036</t>
  </si>
  <si>
    <t>Paul Quinn</t>
  </si>
  <si>
    <t>Procurement Buyer</t>
  </si>
  <si>
    <t>EMP-1037</t>
  </si>
  <si>
    <t>Hana Reyes</t>
  </si>
  <si>
    <t>EMP-1038</t>
  </si>
  <si>
    <t>Sam Bauer</t>
  </si>
  <si>
    <t>EMP-1039</t>
  </si>
  <si>
    <t>Dean Brooks</t>
  </si>
  <si>
    <t>EMP-1040</t>
  </si>
  <si>
    <t>Dana Frost</t>
  </si>
  <si>
    <t>EMP-1041</t>
  </si>
  <si>
    <t>Tom Brooks</t>
  </si>
  <si>
    <t>EMP-1042</t>
  </si>
  <si>
    <t>Dana Whitfield</t>
  </si>
  <si>
    <t>EMP-1043</t>
  </si>
  <si>
    <t>Mona Ford</t>
  </si>
  <si>
    <t>EMP-1044</t>
  </si>
  <si>
    <t>Zoe Farah</t>
  </si>
  <si>
    <t>EMP-1045</t>
  </si>
  <si>
    <t>Leo Hale</t>
  </si>
  <si>
    <t>AP Supervisor</t>
  </si>
  <si>
    <t>EMP-1046</t>
  </si>
  <si>
    <t>Paul Cole</t>
  </si>
  <si>
    <t>EMP-1047</t>
  </si>
  <si>
    <t>Jon Frost</t>
  </si>
  <si>
    <t>EMP-1048</t>
  </si>
  <si>
    <t>Vera Sato</t>
  </si>
  <si>
    <t>EMP-1049</t>
  </si>
  <si>
    <t>Vera Diaz</t>
  </si>
  <si>
    <t>EMP-1050</t>
  </si>
  <si>
    <t>Mona Frost</t>
  </si>
  <si>
    <t>EMP-1051</t>
  </si>
  <si>
    <t>Seth Voss</t>
  </si>
  <si>
    <t>EMP-1052</t>
  </si>
  <si>
    <t>Paul Vance</t>
  </si>
  <si>
    <t>EMP-1053</t>
  </si>
  <si>
    <t>Alex Sato</t>
  </si>
  <si>
    <t>EMP-1054</t>
  </si>
  <si>
    <t>Hana Devi</t>
  </si>
  <si>
    <t>EMP-1055</t>
  </si>
  <si>
    <t>Seth Diaz</t>
  </si>
  <si>
    <t>EMP-1056</t>
  </si>
  <si>
    <t>Vera Brooks</t>
  </si>
  <si>
    <t>EMP-1057</t>
  </si>
  <si>
    <t>Ben Bauer</t>
  </si>
  <si>
    <t>Distinct-employee control summary</t>
  </si>
  <si>
    <t>Distinct employees in register</t>
  </si>
  <si>
    <t>Employees: Approve + Initiate (self-pay)</t>
  </si>
  <si>
    <t>Employees: Onboard + Initiate (fictitious vendor)</t>
  </si>
  <si>
    <t>Employees: All three (toxic combination)</t>
  </si>
  <si>
    <t>Duplicate provisioning records (rows)</t>
  </si>
  <si>
    <t>#</t>
  </si>
  <si>
    <t>Area</t>
  </si>
  <si>
    <t>Trap (naive treatment)</t>
  </si>
  <si>
    <t>Correct treatment applied</t>
  </si>
  <si>
    <t>Approx. $ impact</t>
  </si>
  <si>
    <t>Revenue</t>
  </si>
  <si>
    <t>Book full Order_Value for Q4-dated orders</t>
  </si>
  <si>
    <t>Recognize on Qty_Shipped x price at control transfer</t>
  </si>
  <si>
    <t>Avoids ~$5.5m overstatement</t>
  </si>
  <si>
    <t>Revenue – cutoff</t>
  </si>
  <si>
    <t>Use ship date for all orders</t>
  </si>
  <si>
    <t>FOB Destination recognized at DELIVERY date</t>
  </si>
  <si>
    <t>~$3.4m kept in Q1 2026</t>
  </si>
  <si>
    <t>Treat Jan-shipped FOB Shipping Point as Q4</t>
  </si>
  <si>
    <t>Deferred to Q1 2026 (shipped in Jan)</t>
  </si>
  <si>
    <t>~$0.6m deferred</t>
  </si>
  <si>
    <t>Recognize unshipped Q4 orders</t>
  </si>
  <si>
    <t>6 orders with no shipment = no revenue</t>
  </si>
  <si>
    <t>No revenue booked</t>
  </si>
  <si>
    <t>Price the orphan shipment</t>
  </si>
  <si>
    <t>Shipment with no matching order excluded / flagged</t>
  </si>
  <si>
    <t>Excluded</t>
  </si>
  <si>
    <t>Inventory</t>
  </si>
  <si>
    <t>Sum all 604 inventory rows</t>
  </si>
  <si>
    <t>4 exact-duplicate lots removed</t>
  </si>
  <si>
    <t>~$1.43m double-count removed</t>
  </si>
  <si>
    <t>Carry recalled lots at cost</t>
  </si>
  <si>
    <t>3 recalled lots not saleable -&gt; 100% write-off</t>
  </si>
  <si>
    <t>$0.68m write-off</t>
  </si>
  <si>
    <t>Ignore blank expiry dates</t>
  </si>
  <si>
    <t>Impute expiry = Mfg date + category shelf life (215 lots)</t>
  </si>
  <si>
    <t>Drives reserve tiers</t>
  </si>
  <si>
    <t>Carry near-expiry stock at full cost</t>
  </si>
  <si>
    <t>Reserve tiers: expired 100%, &lt;=90d 50%, 91-180d 25%</t>
  </si>
  <si>
    <t>$13.8m reserves</t>
  </si>
  <si>
    <t>Carry Cell Culture Media at cost</t>
  </si>
  <si>
    <t>LOT-10252 written down to NRV $51.62/unit</t>
  </si>
  <si>
    <t>$0.23m write-down</t>
  </si>
  <si>
    <t>Apply 2023 short-dated email as current 50%</t>
  </si>
  <si>
    <t>Email 4 (2023) is stale; LOT-10139 flagged &amp; prudently reserved</t>
  </si>
  <si>
    <t>$0.88m (judgmental)</t>
  </si>
  <si>
    <t>Apply shelf-life reserve to packaging</t>
  </si>
  <si>
    <t>Packaging treated as non-expiring (95 lots)</t>
  </si>
  <si>
    <t>Avoids over-reserving</t>
  </si>
  <si>
    <t>Controls</t>
  </si>
  <si>
    <t>Assume access register is clean</t>
  </si>
  <si>
    <t>20/58 staff have SoD conflicts; EMP-1042 has toxic all-three</t>
  </si>
  <si>
    <t>Control deficiency</t>
  </si>
  <si>
    <t>Treat duplicate EMP rows as harmless</t>
  </si>
  <si>
    <t>EMP-1042 appears 3x with fragmented grants (provisioning failure)</t>
  </si>
  <si>
    <t>Flagged</t>
  </si>
  <si>
    <t>Revenue - cutoff</t>
  </si>
  <si>
    <t>Trust the 31 Dec delivery date on a 29-Dec-dock shipment</t>
  </si>
  <si>
    <t>Logistics email: 29-Dec-dock transport breakdown delayed delivery to Jan; SHP-70069 deferred</t>
  </si>
  <si>
    <t>~$0.04m moved to Q1</t>
  </si>
  <si>
    <t>Revenue - completeness</t>
  </si>
  <si>
    <t>Rely only on the shipping log for revenue</t>
  </si>
  <si>
    <t>4 invoices (no order/shipment record) for delivered Oct sales recognised; 30-day delivery convention governs timing, net-30 is only a payment term</t>
  </si>
  <si>
    <t>+$0.54m Q4 revenue</t>
  </si>
  <si>
    <t>Inventory - NRV</t>
  </si>
  <si>
    <t>Apply every "NRV below cost" email as a write-down</t>
  </si>
  <si>
    <t>3 NRV emails: LOT-10252 &amp; LOT-10322 written down; LOT-10506 NOT (NRV $355.28 &gt; cost $310.57 — never write up)</t>
  </si>
  <si>
    <t>+$0.65m write-down</t>
  </si>
  <si>
    <t>Inventory - cutoff</t>
  </si>
  <si>
    <t>Stop at the warehouse extract for ending inventory</t>
  </si>
  <si>
    <t>FOB Destination goods in transit at 31 Dec (title retained) added back at cost — 12 lines</t>
  </si>
  <si>
    <t>+$2.43m</t>
  </si>
  <si>
    <t>Inventory - completeness</t>
  </si>
  <si>
    <t>Trust the Inventory_Master extract is complete</t>
  </si>
  <si>
    <t>Email 13: in-transit FOB SP, consignment &amp; 3PL stock owned at 31 Dec added back; near-expiry 3PL lot 50% reserved</t>
  </si>
  <si>
    <t>+$1.45m net</t>
  </si>
  <si>
    <t>Leave sold goods in the extract</t>
  </si>
  <si>
    <t>3 lots shipped &amp; delivered Oct (FOB SP) but never relieved from inventory — removed (double-counted vs revenue)</t>
  </si>
  <si>
    <t>-$0.77m</t>
  </si>
  <si>
    <t>Inventory cut-off &amp; off-extract adjustments</t>
  </si>
  <si>
    <t>Shipment</t>
  </si>
  <si>
    <t>Order</t>
  </si>
  <si>
    <t>Lot</t>
  </si>
  <si>
    <t>Qty</t>
  </si>
  <si>
    <t>Value ($)</t>
  </si>
  <si>
    <t>Subtotal — in-transit FOB Destination</t>
  </si>
  <si>
    <t>Delivered</t>
  </si>
  <si>
    <t>Carried value to remove ($)</t>
  </si>
  <si>
    <t>2025-10-24</t>
  </si>
  <si>
    <t>2025-10-27</t>
  </si>
  <si>
    <t>2025-10-22</t>
  </si>
  <si>
    <t>Subtotal — sold goods to remove</t>
  </si>
  <si>
    <t>Description</t>
  </si>
  <si>
    <t>Gross ($)</t>
  </si>
  <si>
    <t>Reserve%</t>
  </si>
  <si>
    <t>Net ($)</t>
  </si>
  <si>
    <t>Basis</t>
  </si>
  <si>
    <t>LOT-13001</t>
  </si>
  <si>
    <t>In transit, FOB Shipping Point — title passed to us</t>
  </si>
  <si>
    <t>LOT-13002</t>
  </si>
  <si>
    <t>Consignment held at contract manufacturer</t>
  </si>
  <si>
    <t>LOT-13003</t>
  </si>
  <si>
    <t>Third-party 3PL warehouse (off-site)</t>
  </si>
  <si>
    <t>LOT-13004</t>
  </si>
  <si>
    <t>3PL off-site; expires Feb 2026 -&gt; 50% reserve</t>
  </si>
  <si>
    <t>Subtotal — Email 13 (net of reserve)</t>
  </si>
  <si>
    <t>Units: US$.</t>
  </si>
  <si>
    <t>1. Revenue &amp; deferral</t>
  </si>
  <si>
    <t>2. Inventory at 31 Dec 2025</t>
  </si>
  <si>
    <t>3. Controls (Vendor Access)</t>
  </si>
  <si>
    <t>Excluded - shipment with no matching order</t>
  </si>
  <si>
    <t>Gross - warehouse extract (at cost)</t>
  </si>
  <si>
    <t>Net carrying - warehouse extract</t>
  </si>
  <si>
    <t>100% reserve - write to nil; quarantine &amp; destroy</t>
  </si>
  <si>
    <t>Delivery-window convention - email 2025-11-12 (to external audit): unless an order/invoice states otherwise, deliveries conclude within 30 days of dispatch. Used to impute delivery for invoice-only FOB Destination sales.</t>
  </si>
  <si>
    <t>Transport breakdown - email 2025-12-30 (logistics -&gt; sales.ops): all orders that left the dock on 29 Dec delivered first week of January. SHP-70069 recorded 31 Dec delivery overridden; recognition deferred to Q1 2026.</t>
  </si>
  <si>
    <t>Invoice-only sales - INV-S-1001..1004 (refs ORD-2025-20005/20010/20012/20013) appear on sales invoices but in neither the Order Log nor Shipping Log. Delivered Oct sales; recognised in Q4 (completeness finding). Total $542,283.74.</t>
  </si>
  <si>
    <t>NRV emails - Email 7 LOT-10252 ($51.62), Email 8 LOT-10322 ($131.81), Email 9 LOT-10506 ($355.28). Lower of cost or NRV. LOT-10506 NRV ($355.28) EXCEEDS its cost ($310.57) -&gt; NO write-down (never write up to NRV).</t>
  </si>
  <si>
    <t>Email 13 (2025-12-22, to external audit) - stock owned at 31 Dec but missing from Inventory_Master extract: LOT-13001 in-transit FOB Shipping Point (title to us), LOT-13002 consignment at contract mfr, LOT-13003/13004 at 3PL. Added back (see Addbacks tab). LOT-13004 expires Feb 2026 -&gt; 50% reserve.</t>
  </si>
  <si>
    <t>Inventory cut-off - Qty_On_Hand is relieved at dispatch. FOB Destination goods shipped &lt;=31 Dec but delivered in Jan are in transit with title retained -&gt; added back at cost (mirror of deferred revenue). FOB Shipping Point goods that shipped are no longer ours. Goods delivered by 31 Dec are correctly out of on-hand.</t>
  </si>
  <si>
    <t>Sold-not-relieved - LOT-10076/10365/10450 (shipments SHP-90001/2/3) were delivered in Oct under FOB Shipping Point and recognised as Q4 revenue, yet remain in the extract at full value (on-hand = qty shipped). Removed ($767,576.31). SHP-90004 (LOT-10522 orphan) is already 100%-reserved -&gt; no further adjustment.</t>
  </si>
  <si>
    <t>Note: SHP-90004 (LOT-10522, orphan order ORD-2025-20503) is in the same SHP-9xxxx series but its lot is already 100%-reserved to nil - no further inventory adjustment.</t>
  </si>
  <si>
    <t>B. Sold goods still in the Inventory_Master extract - delivered in Q4 (FOB Shipping Point), never relieved -&gt; remove</t>
  </si>
  <si>
    <t>C. Owned stock off the extract (Email 13, 2025-12-22) - at cost, reserve where near-expiry</t>
  </si>
  <si>
    <t>A. In-transit FOB Destination at 31 Dec 2025 (shipped &lt;=31 Dec, delivered Jan; title retained) - added at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</si>
</sst>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;\-"/>
    <numFmt numFmtId="165" formatCode="yyyy\-mm\-dd"/>
  </numFmts>
  <fonts count="15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i/>
      <sz val="10"/>
      <color rgb="FF666666"/>
      <name val="Arial"/>
      <family val="2"/>
    </font>
    <font>
      <b/>
      <sz val="10"/>
      <name val="Arial"/>
      <family val="2"/>
    </font>
    <font>
      <b/>
      <sz val="11"/>
      <color rgb="FF1F3864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rgb="FF1E2761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4" fillId="0" borderId="0" xfId="0" applyFont="1"/>
    <xf numFmtId="164" fontId="4" fillId="0" borderId="0" xfId="0" applyNumberFormat="1" applyFont="1"/>
    <xf numFmtId="1" fontId="2" fillId="0" borderId="0" xfId="0" applyNumberFormat="1" applyFont="1"/>
    <xf numFmtId="0" fontId="5" fillId="0" borderId="0" xfId="0" applyFont="1"/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1" fontId="6" fillId="0" borderId="0" xfId="0" applyNumberFormat="1" applyFont="1"/>
    <xf numFmtId="0" fontId="2" fillId="0" borderId="0" xfId="0" applyFont="1" applyAlignment="1">
      <alignment vertical="top" wrapText="1"/>
    </xf>
    <xf numFmtId="9" fontId="2" fillId="0" borderId="0" xfId="0" applyNumberFormat="1" applyFont="1"/>
    <xf numFmtId="0" fontId="9" fillId="0" borderId="0" xfId="0" applyFont="1"/>
    <xf numFmtId="164" fontId="9" fillId="0" borderId="0" xfId="0" applyNumberFormat="1" applyFont="1"/>
    <xf numFmtId="165" fontId="9" fillId="0" borderId="0" xfId="0" applyNumberFormat="1" applyFont="1"/>
    <xf numFmtId="9" fontId="9" fillId="0" borderId="0" xfId="0" applyNumberFormat="1" applyFont="1"/>
    <xf numFmtId="165" fontId="0" fillId="0" borderId="0" xfId="0" applyNumberFormat="1"/>
    <xf numFmtId="0" fontId="10" fillId="0" borderId="0" xfId="0" applyFont="1"/>
    <xf numFmtId="165" fontId="10" fillId="0" borderId="0" xfId="0" applyNumberFormat="1" applyFont="1"/>
    <xf numFmtId="164" fontId="10" fillId="0" borderId="0" xfId="0" applyNumberFormat="1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1" fontId="10" fillId="0" borderId="0" xfId="0" applyNumberFormat="1" applyFont="1"/>
    <xf numFmtId="0" fontId="13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7" fillId="2" borderId="0" xfId="0" applyFont="1" applyFill="1" applyAlignment="1">
      <alignment horizontal="left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1E276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zoomScaleNormal="100" workbookViewId="0">
      <selection activeCell="E26" sqref="E26"/>
    </sheetView>
  </sheetViews>
  <sheetFormatPr baseColWidth="10" defaultColWidth="8.6640625" defaultRowHeight="15" x14ac:dyDescent="0.2"/>
  <cols>
    <col min="1" max="1" width="46" customWidth="1"/>
    <col min="2" max="2" width="2" customWidth="1"/>
    <col min="3" max="3" width="18" customWidth="1"/>
    <col min="4" max="4" width="2" customWidth="1"/>
    <col min="5" max="5" width="42" customWidth="1"/>
  </cols>
  <sheetData>
    <row r="1" spans="1:5" ht="15" customHeight="1" x14ac:dyDescent="0.2">
      <c r="A1" s="2" t="s">
        <v>3207</v>
      </c>
      <c r="B1" s="1"/>
      <c r="C1" s="1"/>
      <c r="D1" s="1"/>
      <c r="E1" s="1"/>
    </row>
    <row r="2" spans="1:5" ht="15" customHeight="1" x14ac:dyDescent="0.2">
      <c r="A2" s="1"/>
      <c r="B2" s="1"/>
      <c r="C2" s="1"/>
      <c r="D2" s="1"/>
      <c r="E2" s="1"/>
    </row>
    <row r="3" spans="1:5" ht="15" customHeight="1" x14ac:dyDescent="0.2">
      <c r="A3" s="24" t="s">
        <v>3208</v>
      </c>
      <c r="B3" s="1"/>
      <c r="C3" s="1"/>
      <c r="D3" s="1"/>
      <c r="E3" s="1"/>
    </row>
    <row r="4" spans="1:5" ht="24" customHeight="1" x14ac:dyDescent="0.2">
      <c r="A4" s="1" t="s">
        <v>0</v>
      </c>
      <c r="B4" s="1"/>
      <c r="C4" s="3">
        <f>SUMIF(Revenue!$L$2:$L$596,"Q4 2025",Revenue!$K$2:$K$596)</f>
        <v>120047883.15999998</v>
      </c>
      <c r="D4" s="1"/>
      <c r="E4" s="1" t="s">
        <v>1</v>
      </c>
    </row>
    <row r="5" spans="1:5" ht="24" customHeight="1" x14ac:dyDescent="0.2">
      <c r="A5" s="1" t="s">
        <v>2</v>
      </c>
      <c r="B5" s="1"/>
      <c r="C5" s="3">
        <f>SUMIF(Revenue!$L$2:$L$596,"Deferred Q1 2026",Revenue!$K$2:$K$596)</f>
        <v>4492129.21</v>
      </c>
      <c r="D5" s="1"/>
      <c r="E5" s="1" t="s">
        <v>3</v>
      </c>
    </row>
    <row r="6" spans="1:5" ht="15" customHeight="1" x14ac:dyDescent="0.2">
      <c r="A6" s="30" t="s">
        <v>3211</v>
      </c>
      <c r="B6" s="1"/>
      <c r="C6" s="3">
        <f>SUMIF(Revenue!$L$2:$L$596,"Excluded - no order",Revenue!$K$2:$K$596)</f>
        <v>0</v>
      </c>
      <c r="D6" s="1"/>
      <c r="E6" s="1"/>
    </row>
    <row r="7" spans="1:5" ht="15" customHeight="1" x14ac:dyDescent="0.2">
      <c r="A7" s="1"/>
      <c r="B7" s="1"/>
      <c r="C7" s="1"/>
      <c r="D7" s="1"/>
      <c r="E7" s="1"/>
    </row>
    <row r="8" spans="1:5" ht="15" customHeight="1" x14ac:dyDescent="0.2">
      <c r="A8" s="24" t="s">
        <v>3209</v>
      </c>
      <c r="B8" s="19"/>
      <c r="C8" s="19"/>
      <c r="D8" s="19"/>
      <c r="E8" s="19"/>
    </row>
    <row r="9" spans="1:5" ht="24" customHeight="1" x14ac:dyDescent="0.2">
      <c r="A9" s="30" t="s">
        <v>3212</v>
      </c>
      <c r="B9" s="1"/>
      <c r="C9" s="3">
        <f>SUM(Inventory!$U$2:$U$601)</f>
        <v>313494104.51999986</v>
      </c>
      <c r="D9" s="1"/>
      <c r="E9" s="1"/>
    </row>
    <row r="10" spans="1:5" ht="24" customHeight="1" x14ac:dyDescent="0.2">
      <c r="A10" s="30" t="s">
        <v>3213</v>
      </c>
      <c r="B10" s="1"/>
      <c r="C10" s="3">
        <f>SUM(Inventory!$V$2:$V$601)</f>
        <v>296807156.23750007</v>
      </c>
      <c r="D10" s="1"/>
      <c r="E10" s="1" t="s">
        <v>4</v>
      </c>
    </row>
    <row r="11" spans="1:5" ht="24" customHeight="1" x14ac:dyDescent="0.2">
      <c r="A11" s="1" t="s">
        <v>5</v>
      </c>
      <c r="B11" s="1"/>
      <c r="C11" s="3">
        <f>-Addbacks!$F$25</f>
        <v>-767576.31</v>
      </c>
      <c r="D11" s="1"/>
      <c r="E11" s="1" t="s">
        <v>6</v>
      </c>
    </row>
    <row r="12" spans="1:5" ht="15" customHeight="1" x14ac:dyDescent="0.2">
      <c r="A12" s="1" t="s">
        <v>7</v>
      </c>
      <c r="B12" s="1"/>
      <c r="C12" s="3">
        <f>Addbacks!$F$18</f>
        <v>2461395.3000000007</v>
      </c>
      <c r="D12" s="1"/>
      <c r="E12" s="1" t="s">
        <v>8</v>
      </c>
    </row>
    <row r="13" spans="1:5" ht="15" customHeight="1" x14ac:dyDescent="0.2">
      <c r="A13" s="1" t="s">
        <v>9</v>
      </c>
      <c r="B13" s="1"/>
      <c r="C13" s="3">
        <f>Addbacks!$G$33</f>
        <v>1452200</v>
      </c>
      <c r="D13" s="1"/>
      <c r="E13" s="1" t="s">
        <v>10</v>
      </c>
    </row>
    <row r="14" spans="1:5" ht="15" customHeight="1" x14ac:dyDescent="0.2">
      <c r="A14" s="4" t="s">
        <v>11</v>
      </c>
      <c r="B14" s="1"/>
      <c r="C14" s="5">
        <f>C10+C11+C12+C13</f>
        <v>299953175.22750008</v>
      </c>
      <c r="D14" s="1"/>
      <c r="E14" s="1"/>
    </row>
    <row r="15" spans="1:5" ht="15" customHeight="1" x14ac:dyDescent="0.2">
      <c r="A15" s="1"/>
      <c r="B15" s="1"/>
      <c r="C15" s="3"/>
      <c r="D15" s="1"/>
      <c r="E15" s="1"/>
    </row>
    <row r="16" spans="1:5" ht="15" customHeight="1" x14ac:dyDescent="0.2">
      <c r="A16" s="4" t="s">
        <v>12</v>
      </c>
      <c r="B16" s="1"/>
      <c r="C16" s="3"/>
      <c r="D16" s="1"/>
      <c r="E16" s="1"/>
    </row>
    <row r="17" spans="1:5" ht="15" customHeight="1" x14ac:dyDescent="0.2">
      <c r="A17" s="1" t="s">
        <v>13</v>
      </c>
      <c r="B17" s="1"/>
      <c r="C17" s="3">
        <f>SUMIFS(Inventory!$W$2:$W$601,Inventory!$O$2:$O$601,1)</f>
        <v>677448.17999999993</v>
      </c>
      <c r="D17" s="1"/>
      <c r="E17" s="1"/>
    </row>
    <row r="18" spans="1:5" ht="15" customHeight="1" x14ac:dyDescent="0.2">
      <c r="A18" s="1" t="s">
        <v>14</v>
      </c>
      <c r="B18" s="1"/>
      <c r="C18" s="3">
        <f>SUMPRODUCT((Inventory!$O$2:$O$601=0)*(Inventory!$Q$2:$Q$601=0)*(Inventory!$P$2:$P$601=0)*(Inventory!$A$2:$A$601&lt;&gt;"LOT-10252")*(Inventory!$A$2:$A$601&lt;&gt;"LOT-10322")*Inventory!$W$2:$W$601)</f>
        <v>13783218.292500002</v>
      </c>
      <c r="D18" s="1"/>
      <c r="E18" s="1"/>
    </row>
    <row r="19" spans="1:5" ht="15" customHeight="1" x14ac:dyDescent="0.2">
      <c r="A19" s="1" t="s">
        <v>15</v>
      </c>
      <c r="B19" s="1"/>
      <c r="C19" s="3">
        <f>SUMIFS(Inventory!$W$2:$W$601,Inventory!$P$2:$P$601,1)</f>
        <v>458944.53</v>
      </c>
      <c r="D19" s="1"/>
      <c r="E19" s="1"/>
    </row>
    <row r="20" spans="1:5" ht="15" customHeight="1" x14ac:dyDescent="0.2">
      <c r="A20" s="1" t="s">
        <v>16</v>
      </c>
      <c r="B20" s="1"/>
      <c r="C20" s="3">
        <f>SUMIFS(Inventory!$W$2:$W$601,Inventory!$Q$2:$Q$601,1)</f>
        <v>881540.88</v>
      </c>
      <c r="D20" s="1"/>
      <c r="E20" s="1"/>
    </row>
    <row r="21" spans="1:5" ht="17.25" customHeight="1" x14ac:dyDescent="0.2">
      <c r="A21" s="1" t="s">
        <v>17</v>
      </c>
      <c r="B21" s="1"/>
      <c r="C21" s="3">
        <f>SUMIF(Inventory!$A$2:$A$601,"LOT-10252",Inventory!$W$2:$W$601)+SUMIF(Inventory!$A$2:$A$601,"LOT-10322",Inventory!$W$2:$W$601)</f>
        <v>885796.4</v>
      </c>
      <c r="D21" s="1"/>
      <c r="E21" s="1"/>
    </row>
    <row r="22" spans="1:5" ht="15" customHeight="1" x14ac:dyDescent="0.2">
      <c r="A22" s="1"/>
      <c r="B22" s="1"/>
      <c r="C22" s="6"/>
      <c r="D22" s="1"/>
      <c r="E22" s="1"/>
    </row>
    <row r="23" spans="1:5" ht="15" customHeight="1" x14ac:dyDescent="0.2">
      <c r="A23" s="24" t="s">
        <v>3210</v>
      </c>
      <c r="B23" s="19"/>
      <c r="C23" s="25"/>
      <c r="D23" s="19"/>
      <c r="E23" s="19"/>
    </row>
    <row r="24" spans="1:5" ht="15" customHeight="1" x14ac:dyDescent="0.2">
      <c r="A24" s="1" t="s">
        <v>3104</v>
      </c>
      <c r="B24" s="1"/>
      <c r="C24" s="6">
        <f>Controls!E67</f>
        <v>1</v>
      </c>
      <c r="D24" s="1"/>
      <c r="E24" s="1"/>
    </row>
    <row r="25" spans="1:5" ht="15" customHeight="1" x14ac:dyDescent="0.2">
      <c r="A25" s="1" t="s">
        <v>18</v>
      </c>
      <c r="B25" s="1"/>
      <c r="C25" s="6">
        <f>Controls!$E$68</f>
        <v>20</v>
      </c>
      <c r="D25" s="1"/>
      <c r="E25" s="1"/>
    </row>
    <row r="26" spans="1:5" ht="15" customHeight="1" x14ac:dyDescent="0.2">
      <c r="A26" s="1" t="s">
        <v>19</v>
      </c>
      <c r="B26" s="1"/>
      <c r="C26" s="6">
        <f>Controls!$E$64</f>
        <v>58.000000000000007</v>
      </c>
      <c r="D26" s="1"/>
      <c r="E26" s="1"/>
    </row>
    <row r="27" spans="1:5" ht="15" customHeight="1" x14ac:dyDescent="0.2">
      <c r="A27" s="1"/>
      <c r="B27" s="1"/>
      <c r="C27" s="1"/>
      <c r="D27" s="1"/>
      <c r="E27" s="1"/>
    </row>
    <row r="28" spans="1:5" ht="15" customHeight="1" x14ac:dyDescent="0.2">
      <c r="A28" s="1"/>
      <c r="B28" s="1"/>
      <c r="C28" s="1"/>
      <c r="D28" s="1"/>
      <c r="E28" s="1"/>
    </row>
    <row r="29" spans="1:5" ht="15" customHeight="1" x14ac:dyDescent="0.2">
      <c r="A29" s="1"/>
      <c r="B29" s="1"/>
      <c r="C29" s="1"/>
      <c r="D29" s="1"/>
      <c r="E29" s="1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45"/>
  <sheetViews>
    <sheetView topLeftCell="A13" zoomScaleNormal="100" workbookViewId="0">
      <selection activeCell="A46" sqref="A46"/>
    </sheetView>
  </sheetViews>
  <sheetFormatPr baseColWidth="10" defaultColWidth="8.6640625" defaultRowHeight="15" x14ac:dyDescent="0.2"/>
  <cols>
    <col min="1" max="1" width="34" customWidth="1"/>
    <col min="2" max="2" width="24" customWidth="1"/>
    <col min="3" max="3" width="4" customWidth="1"/>
    <col min="4" max="4" width="30" customWidth="1"/>
    <col min="5" max="6" width="22" customWidth="1"/>
    <col min="7" max="7" width="4" customWidth="1"/>
    <col min="8" max="8" width="16" customWidth="1"/>
    <col min="9" max="9" width="14" customWidth="1"/>
  </cols>
  <sheetData>
    <row r="2" spans="1:2" ht="15" customHeight="1" x14ac:dyDescent="0.2">
      <c r="A2" s="7" t="s">
        <v>20</v>
      </c>
    </row>
    <row r="3" spans="1:2" ht="15" customHeight="1" x14ac:dyDescent="0.2">
      <c r="A3" s="8" t="s">
        <v>21</v>
      </c>
      <c r="B3" s="16">
        <v>45931</v>
      </c>
    </row>
    <row r="4" spans="1:2" ht="15" customHeight="1" x14ac:dyDescent="0.2">
      <c r="A4" s="8" t="s">
        <v>22</v>
      </c>
      <c r="B4" s="16">
        <v>46022</v>
      </c>
    </row>
    <row r="5" spans="1:2" ht="15" customHeight="1" x14ac:dyDescent="0.2">
      <c r="A5" s="8" t="s">
        <v>23</v>
      </c>
      <c r="B5" s="16">
        <v>46022</v>
      </c>
    </row>
    <row r="6" spans="1:2" ht="15" customHeight="1" x14ac:dyDescent="0.2">
      <c r="A6" s="8"/>
      <c r="B6" s="16"/>
    </row>
    <row r="8" spans="1:2" ht="15" customHeight="1" x14ac:dyDescent="0.2">
      <c r="A8" s="22" t="s">
        <v>24</v>
      </c>
    </row>
    <row r="9" spans="1:2" ht="15" customHeight="1" x14ac:dyDescent="0.2">
      <c r="A9" s="26" t="s">
        <v>29</v>
      </c>
      <c r="B9" s="26" t="s">
        <v>30</v>
      </c>
    </row>
    <row r="10" spans="1:2" ht="15" customHeight="1" x14ac:dyDescent="0.2">
      <c r="A10" s="14" t="s">
        <v>36</v>
      </c>
      <c r="B10" s="14">
        <v>24</v>
      </c>
    </row>
    <row r="11" spans="1:2" ht="15" customHeight="1" x14ac:dyDescent="0.2">
      <c r="A11" s="14" t="s">
        <v>39</v>
      </c>
      <c r="B11" s="14">
        <v>36</v>
      </c>
    </row>
    <row r="12" spans="1:2" ht="15" customHeight="1" x14ac:dyDescent="0.2">
      <c r="A12" s="14" t="s">
        <v>42</v>
      </c>
      <c r="B12" s="14">
        <v>12</v>
      </c>
    </row>
    <row r="13" spans="1:2" ht="15" customHeight="1" x14ac:dyDescent="0.2">
      <c r="A13" s="14" t="s">
        <v>44</v>
      </c>
      <c r="B13" s="14">
        <v>18</v>
      </c>
    </row>
    <row r="14" spans="1:2" ht="15" customHeight="1" x14ac:dyDescent="0.2">
      <c r="A14" s="14" t="s">
        <v>45</v>
      </c>
      <c r="B14" s="14">
        <v>6</v>
      </c>
    </row>
    <row r="15" spans="1:2" ht="15" customHeight="1" x14ac:dyDescent="0.2">
      <c r="A15" s="14" t="s">
        <v>46</v>
      </c>
      <c r="B15" s="14">
        <v>9</v>
      </c>
    </row>
    <row r="16" spans="1:2" ht="15" customHeight="1" x14ac:dyDescent="0.2">
      <c r="A16" s="14" t="s">
        <v>47</v>
      </c>
      <c r="B16" s="14">
        <v>999</v>
      </c>
    </row>
    <row r="18" spans="1:3" ht="15" customHeight="1" x14ac:dyDescent="0.2">
      <c r="A18" s="22" t="s">
        <v>48</v>
      </c>
    </row>
    <row r="19" spans="1:3" ht="15" customHeight="1" x14ac:dyDescent="0.2">
      <c r="A19" s="8" t="s">
        <v>49</v>
      </c>
      <c r="B19" s="8" t="s">
        <v>3214</v>
      </c>
    </row>
    <row r="20" spans="1:3" ht="15" customHeight="1" x14ac:dyDescent="0.2">
      <c r="A20" s="8" t="s">
        <v>50</v>
      </c>
      <c r="B20" s="8" t="s">
        <v>51</v>
      </c>
    </row>
    <row r="21" spans="1:3" ht="15" customHeight="1" x14ac:dyDescent="0.2">
      <c r="A21" s="8" t="s">
        <v>52</v>
      </c>
      <c r="B21" s="8" t="s">
        <v>53</v>
      </c>
    </row>
    <row r="22" spans="1:3" ht="15" customHeight="1" x14ac:dyDescent="0.2">
      <c r="A22" s="8" t="s">
        <v>54</v>
      </c>
      <c r="B22" s="8" t="s">
        <v>55</v>
      </c>
    </row>
    <row r="24" spans="1:3" x14ac:dyDescent="0.2">
      <c r="A24" s="22" t="s">
        <v>25</v>
      </c>
      <c r="B24" s="22" t="s">
        <v>26</v>
      </c>
      <c r="C24" s="22" t="s">
        <v>27</v>
      </c>
    </row>
    <row r="25" spans="1:3" x14ac:dyDescent="0.2">
      <c r="A25" s="14" t="s">
        <v>31</v>
      </c>
      <c r="B25" s="14" t="s">
        <v>32</v>
      </c>
      <c r="C25" s="14" t="s">
        <v>33</v>
      </c>
    </row>
    <row r="26" spans="1:3" x14ac:dyDescent="0.2">
      <c r="A26" s="14" t="s">
        <v>37</v>
      </c>
      <c r="B26" s="14" t="s">
        <v>38</v>
      </c>
    </row>
    <row r="27" spans="1:3" x14ac:dyDescent="0.2">
      <c r="A27" s="14" t="s">
        <v>40</v>
      </c>
    </row>
    <row r="29" spans="1:3" x14ac:dyDescent="0.2">
      <c r="A29" s="22" t="s">
        <v>28</v>
      </c>
    </row>
    <row r="30" spans="1:3" x14ac:dyDescent="0.2">
      <c r="A30" s="26" t="s">
        <v>34</v>
      </c>
      <c r="B30" s="26" t="s">
        <v>35</v>
      </c>
    </row>
    <row r="31" spans="1:3" x14ac:dyDescent="0.2">
      <c r="A31" s="14" t="s">
        <v>34</v>
      </c>
      <c r="B31" s="15">
        <v>51.62</v>
      </c>
    </row>
    <row r="32" spans="1:3" x14ac:dyDescent="0.2">
      <c r="A32" s="19" t="s">
        <v>41</v>
      </c>
      <c r="B32" s="21">
        <v>131.81</v>
      </c>
    </row>
    <row r="33" spans="1:2" x14ac:dyDescent="0.2">
      <c r="A33" s="19" t="s">
        <v>43</v>
      </c>
      <c r="B33" s="21">
        <v>355.28</v>
      </c>
    </row>
    <row r="34" spans="1:2" x14ac:dyDescent="0.2">
      <c r="A34" s="19"/>
      <c r="B34" s="21"/>
    </row>
    <row r="35" spans="1:2" ht="15" customHeight="1" x14ac:dyDescent="0.2">
      <c r="A35" s="23" t="s">
        <v>56</v>
      </c>
    </row>
    <row r="37" spans="1:2" ht="15" customHeight="1" x14ac:dyDescent="0.2">
      <c r="A37" s="4" t="s">
        <v>57</v>
      </c>
    </row>
    <row r="38" spans="1:2" ht="15" customHeight="1" x14ac:dyDescent="0.2">
      <c r="A38" s="30" t="s">
        <v>3215</v>
      </c>
    </row>
    <row r="39" spans="1:2" ht="15" customHeight="1" x14ac:dyDescent="0.2">
      <c r="A39" s="30" t="s">
        <v>3216</v>
      </c>
    </row>
    <row r="40" spans="1:2" ht="15" customHeight="1" x14ac:dyDescent="0.2">
      <c r="A40" s="30" t="s">
        <v>3217</v>
      </c>
    </row>
    <row r="41" spans="1:2" ht="15" customHeight="1" x14ac:dyDescent="0.2">
      <c r="A41" s="1" t="s">
        <v>58</v>
      </c>
    </row>
    <row r="42" spans="1:2" ht="15" customHeight="1" x14ac:dyDescent="0.2">
      <c r="A42" s="30" t="s">
        <v>3218</v>
      </c>
    </row>
    <row r="43" spans="1:2" ht="15" customHeight="1" x14ac:dyDescent="0.2">
      <c r="A43" s="30" t="s">
        <v>3219</v>
      </c>
    </row>
    <row r="44" spans="1:2" ht="15" customHeight="1" x14ac:dyDescent="0.2">
      <c r="A44" s="30" t="s">
        <v>3220</v>
      </c>
    </row>
    <row r="45" spans="1:2" x14ac:dyDescent="0.2">
      <c r="A45" s="30" t="s">
        <v>3221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96"/>
  <sheetViews>
    <sheetView zoomScaleNormal="100" workbookViewId="0">
      <pane ySplit="1" topLeftCell="A564" activePane="bottomLeft" state="frozen"/>
      <selection pane="bottomLeft" activeCell="A597" sqref="A597"/>
    </sheetView>
  </sheetViews>
  <sheetFormatPr baseColWidth="10" defaultColWidth="8.6640625" defaultRowHeight="15" x14ac:dyDescent="0.2"/>
  <cols>
    <col min="1" max="1" width="13" customWidth="1"/>
    <col min="2" max="2" width="16" customWidth="1"/>
    <col min="3" max="3" width="12" customWidth="1"/>
    <col min="4" max="4" width="13" customWidth="1"/>
    <col min="5" max="5" width="11" customWidth="1"/>
    <col min="6" max="6" width="14" customWidth="1"/>
    <col min="7" max="7" width="11" customWidth="1"/>
    <col min="8" max="8" width="12" customWidth="1"/>
    <col min="9" max="9" width="18" customWidth="1"/>
    <col min="10" max="10" width="16" customWidth="1"/>
    <col min="11" max="11" width="15" customWidth="1"/>
    <col min="12" max="12" width="18" customWidth="1"/>
  </cols>
  <sheetData>
    <row r="1" spans="1:12" s="28" customFormat="1" ht="26.25" customHeight="1" x14ac:dyDescent="0.2">
      <c r="A1" s="27" t="s">
        <v>59</v>
      </c>
      <c r="B1" s="27" t="s">
        <v>60</v>
      </c>
      <c r="C1" s="27" t="s">
        <v>61</v>
      </c>
      <c r="D1" s="27" t="s">
        <v>62</v>
      </c>
      <c r="E1" s="27" t="s">
        <v>63</v>
      </c>
      <c r="F1" s="27" t="s">
        <v>64</v>
      </c>
      <c r="G1" s="27" t="s">
        <v>65</v>
      </c>
      <c r="H1" s="27" t="s">
        <v>66</v>
      </c>
      <c r="I1" s="27" t="s">
        <v>67</v>
      </c>
      <c r="J1" s="27" t="s">
        <v>68</v>
      </c>
      <c r="K1" s="27" t="s">
        <v>69</v>
      </c>
      <c r="L1" s="27" t="s">
        <v>70</v>
      </c>
    </row>
    <row r="2" spans="1:12" ht="15" customHeight="1" x14ac:dyDescent="0.2">
      <c r="A2" s="14" t="s">
        <v>71</v>
      </c>
      <c r="B2" s="14" t="s">
        <v>72</v>
      </c>
      <c r="C2" s="18">
        <v>45981</v>
      </c>
      <c r="D2" s="18">
        <v>45987</v>
      </c>
      <c r="E2" s="14">
        <v>306</v>
      </c>
      <c r="F2" s="14" t="s">
        <v>73</v>
      </c>
      <c r="G2" s="14" t="s">
        <v>74</v>
      </c>
      <c r="H2" s="15">
        <f>IFERROR(VLOOKUP(B2,Orders!$A:$I,6,0),"")</f>
        <v>202.76</v>
      </c>
      <c r="I2" s="14" t="str">
        <f>IFERROR(VLOOKUP(B2,Orders!$A:$I,8,0),"")</f>
        <v>FOB Shipping Point</v>
      </c>
      <c r="J2" s="16">
        <f t="shared" ref="J2:J33" si="0">IF(I2="","",IF(I2="FOB Shipping Point",C2,D2))</f>
        <v>45981</v>
      </c>
      <c r="K2" s="15">
        <f t="shared" ref="K2:K65" si="1">IF(H2="",0,E2*H2)</f>
        <v>62044.56</v>
      </c>
      <c r="L2" s="14" t="str">
        <f>IF(H2="","Excluded - no order",IF(J2&lt;Assumptions!$B$3,"Pre-Q4",IF(J2&lt;=Assumptions!$B$4,"Q4 2025","Deferred Q1 2026")))</f>
        <v>Q4 2025</v>
      </c>
    </row>
    <row r="3" spans="1:12" ht="15" customHeight="1" x14ac:dyDescent="0.2">
      <c r="A3" s="14" t="s">
        <v>75</v>
      </c>
      <c r="B3" s="14" t="s">
        <v>76</v>
      </c>
      <c r="C3" s="18">
        <v>45979</v>
      </c>
      <c r="D3" s="18">
        <v>45981</v>
      </c>
      <c r="E3" s="14">
        <v>1642</v>
      </c>
      <c r="F3" s="14" t="s">
        <v>77</v>
      </c>
      <c r="G3" s="14" t="s">
        <v>78</v>
      </c>
      <c r="H3" s="15">
        <f>IFERROR(VLOOKUP(B3,Orders!$A:$I,6,0),"")</f>
        <v>236.93</v>
      </c>
      <c r="I3" s="14" t="str">
        <f>IFERROR(VLOOKUP(B3,Orders!$A:$I,8,0),"")</f>
        <v>FOB Shipping Point</v>
      </c>
      <c r="J3" s="16">
        <f t="shared" si="0"/>
        <v>45979</v>
      </c>
      <c r="K3" s="15">
        <f t="shared" si="1"/>
        <v>389039.06</v>
      </c>
      <c r="L3" s="14" t="str">
        <f>IF(H3="","Excluded - no order",IF(J3&lt;Assumptions!$B$3,"Pre-Q4",IF(J3&lt;=Assumptions!$B$4,"Q4 2025","Deferred Q1 2026")))</f>
        <v>Q4 2025</v>
      </c>
    </row>
    <row r="4" spans="1:12" ht="15" customHeight="1" x14ac:dyDescent="0.2">
      <c r="A4" s="14" t="s">
        <v>79</v>
      </c>
      <c r="B4" s="14" t="s">
        <v>80</v>
      </c>
      <c r="C4" s="18">
        <v>45973</v>
      </c>
      <c r="D4" s="18">
        <v>45975</v>
      </c>
      <c r="E4" s="14">
        <v>165</v>
      </c>
      <c r="F4" s="14" t="s">
        <v>77</v>
      </c>
      <c r="G4" s="14" t="s">
        <v>78</v>
      </c>
      <c r="H4" s="15">
        <f>IFERROR(VLOOKUP(B4,Orders!$A:$I,6,0),"")</f>
        <v>361.36</v>
      </c>
      <c r="I4" s="14" t="str">
        <f>IFERROR(VLOOKUP(B4,Orders!$A:$I,8,0),"")</f>
        <v>FOB Shipping Point</v>
      </c>
      <c r="J4" s="16">
        <f t="shared" si="0"/>
        <v>45973</v>
      </c>
      <c r="K4" s="15">
        <f t="shared" si="1"/>
        <v>59624.4</v>
      </c>
      <c r="L4" s="14" t="str">
        <f>IF(H4="","Excluded - no order",IF(J4&lt;Assumptions!$B$3,"Pre-Q4",IF(J4&lt;=Assumptions!$B$4,"Q4 2025","Deferred Q1 2026")))</f>
        <v>Q4 2025</v>
      </c>
    </row>
    <row r="5" spans="1:12" ht="15" customHeight="1" x14ac:dyDescent="0.2">
      <c r="A5" s="14" t="s">
        <v>81</v>
      </c>
      <c r="B5" s="14" t="s">
        <v>82</v>
      </c>
      <c r="C5" s="18">
        <v>46001</v>
      </c>
      <c r="D5" s="18">
        <v>46006</v>
      </c>
      <c r="E5" s="14">
        <v>917</v>
      </c>
      <c r="F5" s="14" t="s">
        <v>83</v>
      </c>
      <c r="G5" s="14" t="s">
        <v>84</v>
      </c>
      <c r="H5" s="15">
        <f>IFERROR(VLOOKUP(B5,Orders!$A:$I,6,0),"")</f>
        <v>437.7</v>
      </c>
      <c r="I5" s="14" t="str">
        <f>IFERROR(VLOOKUP(B5,Orders!$A:$I,8,0),"")</f>
        <v>FOB Shipping Point</v>
      </c>
      <c r="J5" s="16">
        <f t="shared" si="0"/>
        <v>46001</v>
      </c>
      <c r="K5" s="15">
        <f t="shared" si="1"/>
        <v>401370.89999999997</v>
      </c>
      <c r="L5" s="14" t="str">
        <f>IF(H5="","Excluded - no order",IF(J5&lt;Assumptions!$B$3,"Pre-Q4",IF(J5&lt;=Assumptions!$B$4,"Q4 2025","Deferred Q1 2026")))</f>
        <v>Q4 2025</v>
      </c>
    </row>
    <row r="6" spans="1:12" ht="15" customHeight="1" x14ac:dyDescent="0.2">
      <c r="A6" s="14" t="s">
        <v>85</v>
      </c>
      <c r="B6" s="14" t="s">
        <v>82</v>
      </c>
      <c r="C6" s="18">
        <v>46003</v>
      </c>
      <c r="D6" s="18">
        <v>46008</v>
      </c>
      <c r="E6" s="14">
        <v>453</v>
      </c>
      <c r="F6" s="14" t="s">
        <v>86</v>
      </c>
      <c r="G6" s="14" t="s">
        <v>87</v>
      </c>
      <c r="H6" s="15">
        <f>IFERROR(VLOOKUP(B6,Orders!$A:$I,6,0),"")</f>
        <v>437.7</v>
      </c>
      <c r="I6" s="14" t="str">
        <f>IFERROR(VLOOKUP(B6,Orders!$A:$I,8,0),"")</f>
        <v>FOB Shipping Point</v>
      </c>
      <c r="J6" s="16">
        <f t="shared" si="0"/>
        <v>46003</v>
      </c>
      <c r="K6" s="15">
        <f t="shared" si="1"/>
        <v>198278.1</v>
      </c>
      <c r="L6" s="14" t="str">
        <f>IF(H6="","Excluded - no order",IF(J6&lt;Assumptions!$B$3,"Pre-Q4",IF(J6&lt;=Assumptions!$B$4,"Q4 2025","Deferred Q1 2026")))</f>
        <v>Q4 2025</v>
      </c>
    </row>
    <row r="7" spans="1:12" ht="15" customHeight="1" x14ac:dyDescent="0.2">
      <c r="A7" s="14" t="s">
        <v>88</v>
      </c>
      <c r="B7" s="14" t="s">
        <v>89</v>
      </c>
      <c r="C7" s="18">
        <v>45971</v>
      </c>
      <c r="D7" s="18">
        <v>45975</v>
      </c>
      <c r="E7" s="14">
        <v>1029</v>
      </c>
      <c r="F7" s="14" t="s">
        <v>90</v>
      </c>
      <c r="G7" s="14" t="s">
        <v>91</v>
      </c>
      <c r="H7" s="15">
        <f>IFERROR(VLOOKUP(B7,Orders!$A:$I,6,0),"")</f>
        <v>361.91</v>
      </c>
      <c r="I7" s="14" t="str">
        <f>IFERROR(VLOOKUP(B7,Orders!$A:$I,8,0),"")</f>
        <v>FOB Destination</v>
      </c>
      <c r="J7" s="16">
        <f t="shared" si="0"/>
        <v>45975</v>
      </c>
      <c r="K7" s="15">
        <f t="shared" si="1"/>
        <v>372405.39</v>
      </c>
      <c r="L7" s="14" t="str">
        <f>IF(H7="","Excluded - no order",IF(J7&lt;Assumptions!$B$3,"Pre-Q4",IF(J7&lt;=Assumptions!$B$4,"Q4 2025","Deferred Q1 2026")))</f>
        <v>Q4 2025</v>
      </c>
    </row>
    <row r="8" spans="1:12" ht="15" customHeight="1" x14ac:dyDescent="0.2">
      <c r="A8" s="14" t="s">
        <v>92</v>
      </c>
      <c r="B8" s="14" t="s">
        <v>93</v>
      </c>
      <c r="C8" s="18">
        <v>46011</v>
      </c>
      <c r="D8" s="18">
        <v>46014</v>
      </c>
      <c r="E8" s="14">
        <v>723</v>
      </c>
      <c r="F8" s="14" t="s">
        <v>73</v>
      </c>
      <c r="G8" s="14" t="s">
        <v>74</v>
      </c>
      <c r="H8" s="15">
        <f>IFERROR(VLOOKUP(B8,Orders!$A:$I,6,0),"")</f>
        <v>254.81</v>
      </c>
      <c r="I8" s="14" t="str">
        <f>IFERROR(VLOOKUP(B8,Orders!$A:$I,8,0),"")</f>
        <v>FOB Shipping Point</v>
      </c>
      <c r="J8" s="16">
        <f t="shared" si="0"/>
        <v>46011</v>
      </c>
      <c r="K8" s="15">
        <f t="shared" si="1"/>
        <v>184227.63</v>
      </c>
      <c r="L8" s="14" t="str">
        <f>IF(H8="","Excluded - no order",IF(J8&lt;Assumptions!$B$3,"Pre-Q4",IF(J8&lt;=Assumptions!$B$4,"Q4 2025","Deferred Q1 2026")))</f>
        <v>Q4 2025</v>
      </c>
    </row>
    <row r="9" spans="1:12" ht="15" customHeight="1" x14ac:dyDescent="0.2">
      <c r="A9" s="14" t="s">
        <v>94</v>
      </c>
      <c r="B9" s="14" t="s">
        <v>95</v>
      </c>
      <c r="C9" s="18">
        <v>46005</v>
      </c>
      <c r="D9" s="18">
        <v>46010</v>
      </c>
      <c r="E9" s="14">
        <v>559</v>
      </c>
      <c r="F9" s="14" t="s">
        <v>73</v>
      </c>
      <c r="G9" s="14" t="s">
        <v>74</v>
      </c>
      <c r="H9" s="15">
        <f>IFERROR(VLOOKUP(B9,Orders!$A:$I,6,0),"")</f>
        <v>91.22</v>
      </c>
      <c r="I9" s="14" t="str">
        <f>IFERROR(VLOOKUP(B9,Orders!$A:$I,8,0),"")</f>
        <v>FOB Shipping Point</v>
      </c>
      <c r="J9" s="16">
        <f t="shared" si="0"/>
        <v>46005</v>
      </c>
      <c r="K9" s="15">
        <f t="shared" si="1"/>
        <v>50991.979999999996</v>
      </c>
      <c r="L9" s="14" t="str">
        <f>IF(H9="","Excluded - no order",IF(J9&lt;Assumptions!$B$3,"Pre-Q4",IF(J9&lt;=Assumptions!$B$4,"Q4 2025","Deferred Q1 2026")))</f>
        <v>Q4 2025</v>
      </c>
    </row>
    <row r="10" spans="1:12" ht="15" customHeight="1" x14ac:dyDescent="0.2">
      <c r="A10" s="14" t="s">
        <v>96</v>
      </c>
      <c r="B10" s="14" t="s">
        <v>97</v>
      </c>
      <c r="C10" s="18">
        <v>45977</v>
      </c>
      <c r="D10" s="18">
        <v>45978</v>
      </c>
      <c r="E10" s="14">
        <v>1274</v>
      </c>
      <c r="F10" s="14" t="s">
        <v>77</v>
      </c>
      <c r="G10" s="14" t="s">
        <v>78</v>
      </c>
      <c r="H10" s="15">
        <f>IFERROR(VLOOKUP(B10,Orders!$A:$I,6,0),"")</f>
        <v>14.27</v>
      </c>
      <c r="I10" s="14" t="str">
        <f>IFERROR(VLOOKUP(B10,Orders!$A:$I,8,0),"")</f>
        <v>FOB Destination</v>
      </c>
      <c r="J10" s="16">
        <f t="shared" si="0"/>
        <v>45978</v>
      </c>
      <c r="K10" s="15">
        <f t="shared" si="1"/>
        <v>18179.98</v>
      </c>
      <c r="L10" s="14" t="str">
        <f>IF(H10="","Excluded - no order",IF(J10&lt;Assumptions!$B$3,"Pre-Q4",IF(J10&lt;=Assumptions!$B$4,"Q4 2025","Deferred Q1 2026")))</f>
        <v>Q4 2025</v>
      </c>
    </row>
    <row r="11" spans="1:12" ht="15" customHeight="1" x14ac:dyDescent="0.2">
      <c r="A11" s="14" t="s">
        <v>98</v>
      </c>
      <c r="B11" s="14" t="s">
        <v>99</v>
      </c>
      <c r="C11" s="18">
        <v>45998</v>
      </c>
      <c r="D11" s="18">
        <v>46000</v>
      </c>
      <c r="E11" s="14">
        <v>1843</v>
      </c>
      <c r="F11" s="14" t="s">
        <v>100</v>
      </c>
      <c r="G11" s="14" t="s">
        <v>101</v>
      </c>
      <c r="H11" s="15">
        <f>IFERROR(VLOOKUP(B11,Orders!$A:$I,6,0),"")</f>
        <v>431.26</v>
      </c>
      <c r="I11" s="14" t="str">
        <f>IFERROR(VLOOKUP(B11,Orders!$A:$I,8,0),"")</f>
        <v>FOB Destination</v>
      </c>
      <c r="J11" s="16">
        <f t="shared" si="0"/>
        <v>46000</v>
      </c>
      <c r="K11" s="15">
        <f t="shared" si="1"/>
        <v>794812.17999999993</v>
      </c>
      <c r="L11" s="14" t="str">
        <f>IF(H11="","Excluded - no order",IF(J11&lt;Assumptions!$B$3,"Pre-Q4",IF(J11&lt;=Assumptions!$B$4,"Q4 2025","Deferred Q1 2026")))</f>
        <v>Q4 2025</v>
      </c>
    </row>
    <row r="12" spans="1:12" ht="15" customHeight="1" x14ac:dyDescent="0.2">
      <c r="A12" s="14" t="s">
        <v>102</v>
      </c>
      <c r="B12" s="14" t="s">
        <v>103</v>
      </c>
      <c r="C12" s="18">
        <v>45989</v>
      </c>
      <c r="D12" s="18">
        <v>45991</v>
      </c>
      <c r="E12" s="14">
        <v>279</v>
      </c>
      <c r="F12" s="14" t="s">
        <v>77</v>
      </c>
      <c r="G12" s="14" t="s">
        <v>78</v>
      </c>
      <c r="H12" s="15">
        <f>IFERROR(VLOOKUP(B12,Orders!$A:$I,6,0),"")</f>
        <v>67.510000000000005</v>
      </c>
      <c r="I12" s="14" t="str">
        <f>IFERROR(VLOOKUP(B12,Orders!$A:$I,8,0),"")</f>
        <v>FOB Shipping Point</v>
      </c>
      <c r="J12" s="16">
        <f t="shared" si="0"/>
        <v>45989</v>
      </c>
      <c r="K12" s="15">
        <f t="shared" si="1"/>
        <v>18835.29</v>
      </c>
      <c r="L12" s="14" t="str">
        <f>IF(H12="","Excluded - no order",IF(J12&lt;Assumptions!$B$3,"Pre-Q4",IF(J12&lt;=Assumptions!$B$4,"Q4 2025","Deferred Q1 2026")))</f>
        <v>Q4 2025</v>
      </c>
    </row>
    <row r="13" spans="1:12" ht="15" customHeight="1" x14ac:dyDescent="0.2">
      <c r="A13" s="14" t="s">
        <v>104</v>
      </c>
      <c r="B13" s="14" t="s">
        <v>105</v>
      </c>
      <c r="C13" s="18">
        <v>45948</v>
      </c>
      <c r="D13" s="18">
        <v>45950</v>
      </c>
      <c r="E13" s="14">
        <v>716</v>
      </c>
      <c r="F13" s="14" t="s">
        <v>73</v>
      </c>
      <c r="G13" s="14" t="s">
        <v>74</v>
      </c>
      <c r="H13" s="15">
        <f>IFERROR(VLOOKUP(B13,Orders!$A:$I,6,0),"")</f>
        <v>14.2</v>
      </c>
      <c r="I13" s="14" t="str">
        <f>IFERROR(VLOOKUP(B13,Orders!$A:$I,8,0),"")</f>
        <v>FOB Destination</v>
      </c>
      <c r="J13" s="16">
        <f t="shared" si="0"/>
        <v>45950</v>
      </c>
      <c r="K13" s="15">
        <f t="shared" si="1"/>
        <v>10167.199999999999</v>
      </c>
      <c r="L13" s="14" t="str">
        <f>IF(H13="","Excluded - no order",IF(J13&lt;Assumptions!$B$3,"Pre-Q4",IF(J13&lt;=Assumptions!$B$4,"Q4 2025","Deferred Q1 2026")))</f>
        <v>Q4 2025</v>
      </c>
    </row>
    <row r="14" spans="1:12" ht="15" customHeight="1" x14ac:dyDescent="0.2">
      <c r="A14" s="14" t="s">
        <v>106</v>
      </c>
      <c r="B14" s="14" t="s">
        <v>107</v>
      </c>
      <c r="C14" s="18">
        <v>46000</v>
      </c>
      <c r="D14" s="18">
        <v>46005</v>
      </c>
      <c r="E14" s="14">
        <v>1876</v>
      </c>
      <c r="F14" s="14" t="s">
        <v>108</v>
      </c>
      <c r="G14" s="14" t="s">
        <v>109</v>
      </c>
      <c r="H14" s="15">
        <f>IFERROR(VLOOKUP(B14,Orders!$A:$I,6,0),"")</f>
        <v>97.7</v>
      </c>
      <c r="I14" s="14" t="str">
        <f>IFERROR(VLOOKUP(B14,Orders!$A:$I,8,0),"")</f>
        <v>FOB Shipping Point</v>
      </c>
      <c r="J14" s="16">
        <f t="shared" si="0"/>
        <v>46000</v>
      </c>
      <c r="K14" s="15">
        <f t="shared" si="1"/>
        <v>183285.2</v>
      </c>
      <c r="L14" s="14" t="str">
        <f>IF(H14="","Excluded - no order",IF(J14&lt;Assumptions!$B$3,"Pre-Q4",IF(J14&lt;=Assumptions!$B$4,"Q4 2025","Deferred Q1 2026")))</f>
        <v>Q4 2025</v>
      </c>
    </row>
    <row r="15" spans="1:12" ht="15" customHeight="1" x14ac:dyDescent="0.2">
      <c r="A15" s="14" t="s">
        <v>110</v>
      </c>
      <c r="B15" s="14" t="s">
        <v>111</v>
      </c>
      <c r="C15" s="18">
        <v>45971</v>
      </c>
      <c r="D15" s="18">
        <v>45975</v>
      </c>
      <c r="E15" s="14">
        <v>945</v>
      </c>
      <c r="F15" s="14" t="s">
        <v>112</v>
      </c>
      <c r="G15" s="14" t="s">
        <v>113</v>
      </c>
      <c r="H15" s="15">
        <f>IFERROR(VLOOKUP(B15,Orders!$A:$I,6,0),"")</f>
        <v>414.15</v>
      </c>
      <c r="I15" s="14" t="str">
        <f>IFERROR(VLOOKUP(B15,Orders!$A:$I,8,0),"")</f>
        <v>FOB Shipping Point</v>
      </c>
      <c r="J15" s="16">
        <f t="shared" si="0"/>
        <v>45971</v>
      </c>
      <c r="K15" s="15">
        <f t="shared" si="1"/>
        <v>391371.75</v>
      </c>
      <c r="L15" s="14" t="str">
        <f>IF(H15="","Excluded - no order",IF(J15&lt;Assumptions!$B$3,"Pre-Q4",IF(J15&lt;=Assumptions!$B$4,"Q4 2025","Deferred Q1 2026")))</f>
        <v>Q4 2025</v>
      </c>
    </row>
    <row r="16" spans="1:12" ht="15" customHeight="1" x14ac:dyDescent="0.2">
      <c r="A16" s="14" t="s">
        <v>114</v>
      </c>
      <c r="B16" s="14" t="s">
        <v>115</v>
      </c>
      <c r="C16" s="18">
        <v>45946</v>
      </c>
      <c r="D16" s="18">
        <v>45947</v>
      </c>
      <c r="E16" s="14">
        <v>1536</v>
      </c>
      <c r="F16" s="14" t="s">
        <v>100</v>
      </c>
      <c r="G16" s="14" t="s">
        <v>101</v>
      </c>
      <c r="H16" s="15">
        <f>IFERROR(VLOOKUP(B16,Orders!$A:$I,6,0),"")</f>
        <v>384.85</v>
      </c>
      <c r="I16" s="14" t="str">
        <f>IFERROR(VLOOKUP(B16,Orders!$A:$I,8,0),"")</f>
        <v>FOB Destination</v>
      </c>
      <c r="J16" s="16">
        <f t="shared" si="0"/>
        <v>45947</v>
      </c>
      <c r="K16" s="15">
        <f t="shared" si="1"/>
        <v>591129.60000000009</v>
      </c>
      <c r="L16" s="14" t="str">
        <f>IF(H16="","Excluded - no order",IF(J16&lt;Assumptions!$B$3,"Pre-Q4",IF(J16&lt;=Assumptions!$B$4,"Q4 2025","Deferred Q1 2026")))</f>
        <v>Q4 2025</v>
      </c>
    </row>
    <row r="17" spans="1:12" ht="15" customHeight="1" x14ac:dyDescent="0.2">
      <c r="A17" s="14" t="s">
        <v>116</v>
      </c>
      <c r="B17" s="14" t="s">
        <v>117</v>
      </c>
      <c r="C17" s="18">
        <v>45987</v>
      </c>
      <c r="D17" s="18">
        <v>45989</v>
      </c>
      <c r="E17" s="14">
        <v>1020</v>
      </c>
      <c r="F17" s="14" t="s">
        <v>118</v>
      </c>
      <c r="G17" s="14" t="s">
        <v>119</v>
      </c>
      <c r="H17" s="15">
        <f>IFERROR(VLOOKUP(B17,Orders!$A:$I,6,0),"")</f>
        <v>113.93</v>
      </c>
      <c r="I17" s="14" t="str">
        <f>IFERROR(VLOOKUP(B17,Orders!$A:$I,8,0),"")</f>
        <v>FOB Shipping Point</v>
      </c>
      <c r="J17" s="16">
        <f t="shared" si="0"/>
        <v>45987</v>
      </c>
      <c r="K17" s="15">
        <f t="shared" si="1"/>
        <v>116208.6</v>
      </c>
      <c r="L17" s="14" t="str">
        <f>IF(H17="","Excluded - no order",IF(J17&lt;Assumptions!$B$3,"Pre-Q4",IF(J17&lt;=Assumptions!$B$4,"Q4 2025","Deferred Q1 2026")))</f>
        <v>Q4 2025</v>
      </c>
    </row>
    <row r="18" spans="1:12" ht="15" customHeight="1" x14ac:dyDescent="0.2">
      <c r="A18" s="14" t="s">
        <v>120</v>
      </c>
      <c r="B18" s="14" t="s">
        <v>121</v>
      </c>
      <c r="C18" s="18">
        <v>45973</v>
      </c>
      <c r="D18" s="18">
        <v>45975</v>
      </c>
      <c r="E18" s="14">
        <v>1422</v>
      </c>
      <c r="F18" s="14" t="s">
        <v>122</v>
      </c>
      <c r="G18" s="14" t="s">
        <v>123</v>
      </c>
      <c r="H18" s="15">
        <f>IFERROR(VLOOKUP(B18,Orders!$A:$I,6,0),"")</f>
        <v>38.03</v>
      </c>
      <c r="I18" s="14" t="str">
        <f>IFERROR(VLOOKUP(B18,Orders!$A:$I,8,0),"")</f>
        <v>FOB Destination</v>
      </c>
      <c r="J18" s="16">
        <f t="shared" si="0"/>
        <v>45975</v>
      </c>
      <c r="K18" s="15">
        <f t="shared" si="1"/>
        <v>54078.66</v>
      </c>
      <c r="L18" s="14" t="str">
        <f>IF(H18="","Excluded - no order",IF(J18&lt;Assumptions!$B$3,"Pre-Q4",IF(J18&lt;=Assumptions!$B$4,"Q4 2025","Deferred Q1 2026")))</f>
        <v>Q4 2025</v>
      </c>
    </row>
    <row r="19" spans="1:12" ht="15" customHeight="1" x14ac:dyDescent="0.2">
      <c r="A19" s="14" t="s">
        <v>124</v>
      </c>
      <c r="B19" s="14" t="s">
        <v>125</v>
      </c>
      <c r="C19" s="18">
        <v>45996</v>
      </c>
      <c r="D19" s="18">
        <v>46002</v>
      </c>
      <c r="E19" s="14">
        <v>1143</v>
      </c>
      <c r="F19" s="14" t="s">
        <v>100</v>
      </c>
      <c r="G19" s="14" t="s">
        <v>101</v>
      </c>
      <c r="H19" s="15">
        <f>IFERROR(VLOOKUP(B19,Orders!$A:$I,6,0),"")</f>
        <v>303.32</v>
      </c>
      <c r="I19" s="14" t="str">
        <f>IFERROR(VLOOKUP(B19,Orders!$A:$I,8,0),"")</f>
        <v>FOB Destination</v>
      </c>
      <c r="J19" s="16">
        <f t="shared" si="0"/>
        <v>46002</v>
      </c>
      <c r="K19" s="15">
        <f t="shared" si="1"/>
        <v>346694.76</v>
      </c>
      <c r="L19" s="14" t="str">
        <f>IF(H19="","Excluded - no order",IF(J19&lt;Assumptions!$B$3,"Pre-Q4",IF(J19&lt;=Assumptions!$B$4,"Q4 2025","Deferred Q1 2026")))</f>
        <v>Q4 2025</v>
      </c>
    </row>
    <row r="20" spans="1:12" ht="15" customHeight="1" x14ac:dyDescent="0.2">
      <c r="A20" s="14" t="s">
        <v>126</v>
      </c>
      <c r="B20" s="14" t="s">
        <v>127</v>
      </c>
      <c r="C20" s="18">
        <v>45969</v>
      </c>
      <c r="D20" s="18">
        <v>45971</v>
      </c>
      <c r="E20" s="14">
        <v>560</v>
      </c>
      <c r="F20" s="14" t="s">
        <v>112</v>
      </c>
      <c r="G20" s="14" t="s">
        <v>113</v>
      </c>
      <c r="H20" s="15">
        <f>IFERROR(VLOOKUP(B20,Orders!$A:$I,6,0),"")</f>
        <v>9.83</v>
      </c>
      <c r="I20" s="14" t="str">
        <f>IFERROR(VLOOKUP(B20,Orders!$A:$I,8,0),"")</f>
        <v>FOB Destination</v>
      </c>
      <c r="J20" s="16">
        <f t="shared" si="0"/>
        <v>45971</v>
      </c>
      <c r="K20" s="15">
        <f t="shared" si="1"/>
        <v>5504.8</v>
      </c>
      <c r="L20" s="14" t="str">
        <f>IF(H20="","Excluded - no order",IF(J20&lt;Assumptions!$B$3,"Pre-Q4",IF(J20&lt;=Assumptions!$B$4,"Q4 2025","Deferred Q1 2026")))</f>
        <v>Q4 2025</v>
      </c>
    </row>
    <row r="21" spans="1:12" ht="15" customHeight="1" x14ac:dyDescent="0.2">
      <c r="A21" s="14" t="s">
        <v>128</v>
      </c>
      <c r="B21" s="14" t="s">
        <v>129</v>
      </c>
      <c r="C21" s="18">
        <v>45988</v>
      </c>
      <c r="D21" s="18">
        <v>45989</v>
      </c>
      <c r="E21" s="14">
        <v>1103</v>
      </c>
      <c r="F21" s="14" t="s">
        <v>130</v>
      </c>
      <c r="G21" s="14" t="s">
        <v>131</v>
      </c>
      <c r="H21" s="15">
        <f>IFERROR(VLOOKUP(B21,Orders!$A:$I,6,0),"")</f>
        <v>122.21</v>
      </c>
      <c r="I21" s="14" t="str">
        <f>IFERROR(VLOOKUP(B21,Orders!$A:$I,8,0),"")</f>
        <v>FOB Shipping Point</v>
      </c>
      <c r="J21" s="16">
        <f t="shared" si="0"/>
        <v>45988</v>
      </c>
      <c r="K21" s="15">
        <f t="shared" si="1"/>
        <v>134797.63</v>
      </c>
      <c r="L21" s="14" t="str">
        <f>IF(H21="","Excluded - no order",IF(J21&lt;Assumptions!$B$3,"Pre-Q4",IF(J21&lt;=Assumptions!$B$4,"Q4 2025","Deferred Q1 2026")))</f>
        <v>Q4 2025</v>
      </c>
    </row>
    <row r="22" spans="1:12" ht="15" customHeight="1" x14ac:dyDescent="0.2">
      <c r="A22" s="14" t="s">
        <v>132</v>
      </c>
      <c r="B22" s="14" t="s">
        <v>133</v>
      </c>
      <c r="C22" s="18">
        <v>45943</v>
      </c>
      <c r="D22" s="18">
        <v>45948</v>
      </c>
      <c r="E22" s="14">
        <v>1634</v>
      </c>
      <c r="F22" s="14" t="s">
        <v>134</v>
      </c>
      <c r="G22" s="14" t="s">
        <v>135</v>
      </c>
      <c r="H22" s="15">
        <f>IFERROR(VLOOKUP(B22,Orders!$A:$I,6,0),"")</f>
        <v>243.2</v>
      </c>
      <c r="I22" s="14" t="str">
        <f>IFERROR(VLOOKUP(B22,Orders!$A:$I,8,0),"")</f>
        <v>FOB Destination</v>
      </c>
      <c r="J22" s="16">
        <f t="shared" si="0"/>
        <v>45948</v>
      </c>
      <c r="K22" s="15">
        <f t="shared" si="1"/>
        <v>397388.79999999999</v>
      </c>
      <c r="L22" s="14" t="str">
        <f>IF(H22="","Excluded - no order",IF(J22&lt;Assumptions!$B$3,"Pre-Q4",IF(J22&lt;=Assumptions!$B$4,"Q4 2025","Deferred Q1 2026")))</f>
        <v>Q4 2025</v>
      </c>
    </row>
    <row r="23" spans="1:12" ht="15" customHeight="1" x14ac:dyDescent="0.2">
      <c r="A23" s="14" t="s">
        <v>136</v>
      </c>
      <c r="B23" s="14" t="s">
        <v>137</v>
      </c>
      <c r="C23" s="18">
        <v>46016</v>
      </c>
      <c r="D23" s="18">
        <v>46018</v>
      </c>
      <c r="E23" s="14">
        <v>112</v>
      </c>
      <c r="F23" s="14" t="s">
        <v>100</v>
      </c>
      <c r="G23" s="14" t="s">
        <v>101</v>
      </c>
      <c r="H23" s="15">
        <f>IFERROR(VLOOKUP(B23,Orders!$A:$I,6,0),"")</f>
        <v>371.91</v>
      </c>
      <c r="I23" s="14" t="str">
        <f>IFERROR(VLOOKUP(B23,Orders!$A:$I,8,0),"")</f>
        <v>FOB Destination</v>
      </c>
      <c r="J23" s="16">
        <f t="shared" si="0"/>
        <v>46018</v>
      </c>
      <c r="K23" s="15">
        <f t="shared" si="1"/>
        <v>41653.920000000006</v>
      </c>
      <c r="L23" s="14" t="str">
        <f>IF(H23="","Excluded - no order",IF(J23&lt;Assumptions!$B$3,"Pre-Q4",IF(J23&lt;=Assumptions!$B$4,"Q4 2025","Deferred Q1 2026")))</f>
        <v>Q4 2025</v>
      </c>
    </row>
    <row r="24" spans="1:12" ht="15" customHeight="1" x14ac:dyDescent="0.2">
      <c r="A24" s="14" t="s">
        <v>138</v>
      </c>
      <c r="B24" s="14" t="s">
        <v>139</v>
      </c>
      <c r="C24" s="18">
        <v>45999</v>
      </c>
      <c r="D24" s="18">
        <v>46001</v>
      </c>
      <c r="E24" s="14">
        <v>1023</v>
      </c>
      <c r="F24" s="14" t="s">
        <v>112</v>
      </c>
      <c r="G24" s="14" t="s">
        <v>113</v>
      </c>
      <c r="H24" s="15">
        <f>IFERROR(VLOOKUP(B24,Orders!$A:$I,6,0),"")</f>
        <v>75.97</v>
      </c>
      <c r="I24" s="14" t="str">
        <f>IFERROR(VLOOKUP(B24,Orders!$A:$I,8,0),"")</f>
        <v>FOB Destination</v>
      </c>
      <c r="J24" s="16">
        <f t="shared" si="0"/>
        <v>46001</v>
      </c>
      <c r="K24" s="15">
        <f t="shared" si="1"/>
        <v>77717.31</v>
      </c>
      <c r="L24" s="14" t="str">
        <f>IF(H24="","Excluded - no order",IF(J24&lt;Assumptions!$B$3,"Pre-Q4",IF(J24&lt;=Assumptions!$B$4,"Q4 2025","Deferred Q1 2026")))</f>
        <v>Q4 2025</v>
      </c>
    </row>
    <row r="25" spans="1:12" ht="15" customHeight="1" x14ac:dyDescent="0.2">
      <c r="A25" s="14" t="s">
        <v>140</v>
      </c>
      <c r="B25" s="14" t="s">
        <v>141</v>
      </c>
      <c r="C25" s="18">
        <v>45968</v>
      </c>
      <c r="D25" s="18">
        <v>45974</v>
      </c>
      <c r="E25" s="14">
        <v>448</v>
      </c>
      <c r="F25" s="14" t="s">
        <v>118</v>
      </c>
      <c r="G25" s="14" t="s">
        <v>119</v>
      </c>
      <c r="H25" s="15">
        <f>IFERROR(VLOOKUP(B25,Orders!$A:$I,6,0),"")</f>
        <v>38.450000000000003</v>
      </c>
      <c r="I25" s="14" t="str">
        <f>IFERROR(VLOOKUP(B25,Orders!$A:$I,8,0),"")</f>
        <v>FOB Shipping Point</v>
      </c>
      <c r="J25" s="16">
        <f t="shared" si="0"/>
        <v>45968</v>
      </c>
      <c r="K25" s="15">
        <f t="shared" si="1"/>
        <v>17225.600000000002</v>
      </c>
      <c r="L25" s="14" t="str">
        <f>IF(H25="","Excluded - no order",IF(J25&lt;Assumptions!$B$3,"Pre-Q4",IF(J25&lt;=Assumptions!$B$4,"Q4 2025","Deferred Q1 2026")))</f>
        <v>Q4 2025</v>
      </c>
    </row>
    <row r="26" spans="1:12" ht="15" customHeight="1" x14ac:dyDescent="0.2">
      <c r="A26" s="14" t="s">
        <v>142</v>
      </c>
      <c r="B26" s="14" t="s">
        <v>143</v>
      </c>
      <c r="C26" s="18">
        <v>45950</v>
      </c>
      <c r="D26" s="18">
        <v>45954</v>
      </c>
      <c r="E26" s="14">
        <v>762</v>
      </c>
      <c r="F26" s="14" t="s">
        <v>144</v>
      </c>
      <c r="G26" s="14" t="s">
        <v>145</v>
      </c>
      <c r="H26" s="15">
        <f>IFERROR(VLOOKUP(B26,Orders!$A:$I,6,0),"")</f>
        <v>474.9</v>
      </c>
      <c r="I26" s="14" t="str">
        <f>IFERROR(VLOOKUP(B26,Orders!$A:$I,8,0),"")</f>
        <v>FOB Shipping Point</v>
      </c>
      <c r="J26" s="16">
        <f t="shared" si="0"/>
        <v>45950</v>
      </c>
      <c r="K26" s="15">
        <f t="shared" si="1"/>
        <v>361873.8</v>
      </c>
      <c r="L26" s="14" t="str">
        <f>IF(H26="","Excluded - no order",IF(J26&lt;Assumptions!$B$3,"Pre-Q4",IF(J26&lt;=Assumptions!$B$4,"Q4 2025","Deferred Q1 2026")))</f>
        <v>Q4 2025</v>
      </c>
    </row>
    <row r="27" spans="1:12" ht="15" customHeight="1" x14ac:dyDescent="0.2">
      <c r="A27" s="14" t="s">
        <v>146</v>
      </c>
      <c r="B27" s="14" t="s">
        <v>147</v>
      </c>
      <c r="C27" s="18">
        <v>45988</v>
      </c>
      <c r="D27" s="18">
        <v>45994</v>
      </c>
      <c r="E27" s="14">
        <v>731</v>
      </c>
      <c r="F27" s="14" t="s">
        <v>122</v>
      </c>
      <c r="G27" s="14" t="s">
        <v>123</v>
      </c>
      <c r="H27" s="15">
        <f>IFERROR(VLOOKUP(B27,Orders!$A:$I,6,0),"")</f>
        <v>205.09</v>
      </c>
      <c r="I27" s="14" t="str">
        <f>IFERROR(VLOOKUP(B27,Orders!$A:$I,8,0),"")</f>
        <v>FOB Destination</v>
      </c>
      <c r="J27" s="16">
        <f t="shared" si="0"/>
        <v>45994</v>
      </c>
      <c r="K27" s="15">
        <f t="shared" si="1"/>
        <v>149920.79</v>
      </c>
      <c r="L27" s="14" t="str">
        <f>IF(H27="","Excluded - no order",IF(J27&lt;Assumptions!$B$3,"Pre-Q4",IF(J27&lt;=Assumptions!$B$4,"Q4 2025","Deferred Q1 2026")))</f>
        <v>Q4 2025</v>
      </c>
    </row>
    <row r="28" spans="1:12" ht="15" customHeight="1" x14ac:dyDescent="0.2">
      <c r="A28" s="14" t="s">
        <v>148</v>
      </c>
      <c r="B28" s="14" t="s">
        <v>147</v>
      </c>
      <c r="C28" s="18">
        <v>45990</v>
      </c>
      <c r="D28" s="18">
        <v>45996</v>
      </c>
      <c r="E28" s="14">
        <v>463</v>
      </c>
      <c r="F28" s="14" t="s">
        <v>149</v>
      </c>
      <c r="G28" s="14" t="s">
        <v>150</v>
      </c>
      <c r="H28" s="15">
        <f>IFERROR(VLOOKUP(B28,Orders!$A:$I,6,0),"")</f>
        <v>205.09</v>
      </c>
      <c r="I28" s="14" t="str">
        <f>IFERROR(VLOOKUP(B28,Orders!$A:$I,8,0),"")</f>
        <v>FOB Destination</v>
      </c>
      <c r="J28" s="16">
        <f t="shared" si="0"/>
        <v>45996</v>
      </c>
      <c r="K28" s="15">
        <f t="shared" si="1"/>
        <v>94956.67</v>
      </c>
      <c r="L28" s="14" t="str">
        <f>IF(H28="","Excluded - no order",IF(J28&lt;Assumptions!$B$3,"Pre-Q4",IF(J28&lt;=Assumptions!$B$4,"Q4 2025","Deferred Q1 2026")))</f>
        <v>Q4 2025</v>
      </c>
    </row>
    <row r="29" spans="1:12" ht="15" customHeight="1" x14ac:dyDescent="0.2">
      <c r="A29" s="14" t="s">
        <v>151</v>
      </c>
      <c r="B29" s="14" t="s">
        <v>152</v>
      </c>
      <c r="C29" s="18">
        <v>45989</v>
      </c>
      <c r="D29" s="18">
        <v>45990</v>
      </c>
      <c r="E29" s="14">
        <v>777</v>
      </c>
      <c r="F29" s="14" t="s">
        <v>112</v>
      </c>
      <c r="G29" s="14" t="s">
        <v>113</v>
      </c>
      <c r="H29" s="15">
        <f>IFERROR(VLOOKUP(B29,Orders!$A:$I,6,0),"")</f>
        <v>363.4</v>
      </c>
      <c r="I29" s="14" t="str">
        <f>IFERROR(VLOOKUP(B29,Orders!$A:$I,8,0),"")</f>
        <v>FOB Shipping Point</v>
      </c>
      <c r="J29" s="16">
        <f t="shared" si="0"/>
        <v>45989</v>
      </c>
      <c r="K29" s="15">
        <f t="shared" si="1"/>
        <v>282361.8</v>
      </c>
      <c r="L29" s="14" t="str">
        <f>IF(H29="","Excluded - no order",IF(J29&lt;Assumptions!$B$3,"Pre-Q4",IF(J29&lt;=Assumptions!$B$4,"Q4 2025","Deferred Q1 2026")))</f>
        <v>Q4 2025</v>
      </c>
    </row>
    <row r="30" spans="1:12" ht="15" customHeight="1" x14ac:dyDescent="0.2">
      <c r="A30" s="14" t="s">
        <v>153</v>
      </c>
      <c r="B30" s="14" t="s">
        <v>152</v>
      </c>
      <c r="C30" s="18">
        <v>45991</v>
      </c>
      <c r="D30" s="18">
        <v>45992</v>
      </c>
      <c r="E30" s="14">
        <v>730</v>
      </c>
      <c r="F30" s="14" t="s">
        <v>118</v>
      </c>
      <c r="G30" s="14" t="s">
        <v>119</v>
      </c>
      <c r="H30" s="15">
        <f>IFERROR(VLOOKUP(B30,Orders!$A:$I,6,0),"")</f>
        <v>363.4</v>
      </c>
      <c r="I30" s="14" t="str">
        <f>IFERROR(VLOOKUP(B30,Orders!$A:$I,8,0),"")</f>
        <v>FOB Shipping Point</v>
      </c>
      <c r="J30" s="16">
        <f t="shared" si="0"/>
        <v>45991</v>
      </c>
      <c r="K30" s="15">
        <f t="shared" si="1"/>
        <v>265282</v>
      </c>
      <c r="L30" s="14" t="str">
        <f>IF(H30="","Excluded - no order",IF(J30&lt;Assumptions!$B$3,"Pre-Q4",IF(J30&lt;=Assumptions!$B$4,"Q4 2025","Deferred Q1 2026")))</f>
        <v>Q4 2025</v>
      </c>
    </row>
    <row r="31" spans="1:12" ht="15" customHeight="1" x14ac:dyDescent="0.2">
      <c r="A31" s="14" t="s">
        <v>154</v>
      </c>
      <c r="B31" s="14" t="s">
        <v>155</v>
      </c>
      <c r="C31" s="18">
        <v>46003</v>
      </c>
      <c r="D31" s="18">
        <v>46006</v>
      </c>
      <c r="E31" s="14">
        <v>1442</v>
      </c>
      <c r="F31" s="14" t="s">
        <v>73</v>
      </c>
      <c r="G31" s="14" t="s">
        <v>74</v>
      </c>
      <c r="H31" s="15">
        <f>IFERROR(VLOOKUP(B31,Orders!$A:$I,6,0),"")</f>
        <v>486.26</v>
      </c>
      <c r="I31" s="14" t="str">
        <f>IFERROR(VLOOKUP(B31,Orders!$A:$I,8,0),"")</f>
        <v>FOB Destination</v>
      </c>
      <c r="J31" s="16">
        <f t="shared" si="0"/>
        <v>46006</v>
      </c>
      <c r="K31" s="15">
        <f t="shared" si="1"/>
        <v>701186.92</v>
      </c>
      <c r="L31" s="14" t="str">
        <f>IF(H31="","Excluded - no order",IF(J31&lt;Assumptions!$B$3,"Pre-Q4",IF(J31&lt;=Assumptions!$B$4,"Q4 2025","Deferred Q1 2026")))</f>
        <v>Q4 2025</v>
      </c>
    </row>
    <row r="32" spans="1:12" ht="15" customHeight="1" x14ac:dyDescent="0.2">
      <c r="A32" s="14" t="s">
        <v>156</v>
      </c>
      <c r="B32" s="14" t="s">
        <v>155</v>
      </c>
      <c r="C32" s="18">
        <v>46005</v>
      </c>
      <c r="D32" s="18">
        <v>46008</v>
      </c>
      <c r="E32" s="14">
        <v>390</v>
      </c>
      <c r="F32" s="14" t="s">
        <v>100</v>
      </c>
      <c r="G32" s="14" t="s">
        <v>101</v>
      </c>
      <c r="H32" s="15">
        <f>IFERROR(VLOOKUP(B32,Orders!$A:$I,6,0),"")</f>
        <v>486.26</v>
      </c>
      <c r="I32" s="14" t="str">
        <f>IFERROR(VLOOKUP(B32,Orders!$A:$I,8,0),"")</f>
        <v>FOB Destination</v>
      </c>
      <c r="J32" s="16">
        <f t="shared" si="0"/>
        <v>46008</v>
      </c>
      <c r="K32" s="15">
        <f t="shared" si="1"/>
        <v>189641.4</v>
      </c>
      <c r="L32" s="14" t="str">
        <f>IF(H32="","Excluded - no order",IF(J32&lt;Assumptions!$B$3,"Pre-Q4",IF(J32&lt;=Assumptions!$B$4,"Q4 2025","Deferred Q1 2026")))</f>
        <v>Q4 2025</v>
      </c>
    </row>
    <row r="33" spans="1:12" ht="15" customHeight="1" x14ac:dyDescent="0.2">
      <c r="A33" s="14" t="s">
        <v>157</v>
      </c>
      <c r="B33" s="14" t="s">
        <v>158</v>
      </c>
      <c r="C33" s="18">
        <v>45990</v>
      </c>
      <c r="D33" s="18">
        <v>45991</v>
      </c>
      <c r="E33" s="14">
        <v>1525</v>
      </c>
      <c r="F33" s="14" t="s">
        <v>122</v>
      </c>
      <c r="G33" s="14" t="s">
        <v>123</v>
      </c>
      <c r="H33" s="15">
        <f>IFERROR(VLOOKUP(B33,Orders!$A:$I,6,0),"")</f>
        <v>244.46</v>
      </c>
      <c r="I33" s="14" t="str">
        <f>IFERROR(VLOOKUP(B33,Orders!$A:$I,8,0),"")</f>
        <v>FOB Shipping Point</v>
      </c>
      <c r="J33" s="16">
        <f t="shared" si="0"/>
        <v>45990</v>
      </c>
      <c r="K33" s="15">
        <f t="shared" si="1"/>
        <v>372801.5</v>
      </c>
      <c r="L33" s="14" t="str">
        <f>IF(H33="","Excluded - no order",IF(J33&lt;Assumptions!$B$3,"Pre-Q4",IF(J33&lt;=Assumptions!$B$4,"Q4 2025","Deferred Q1 2026")))</f>
        <v>Q4 2025</v>
      </c>
    </row>
    <row r="34" spans="1:12" ht="15" customHeight="1" x14ac:dyDescent="0.2">
      <c r="A34" s="14" t="s">
        <v>159</v>
      </c>
      <c r="B34" s="14" t="s">
        <v>160</v>
      </c>
      <c r="C34" s="18">
        <v>45958</v>
      </c>
      <c r="D34" s="18">
        <v>45961</v>
      </c>
      <c r="E34" s="14">
        <v>1353</v>
      </c>
      <c r="F34" s="14" t="s">
        <v>161</v>
      </c>
      <c r="G34" s="14" t="s">
        <v>162</v>
      </c>
      <c r="H34" s="15">
        <f>IFERROR(VLOOKUP(B34,Orders!$A:$I,6,0),"")</f>
        <v>301.72000000000003</v>
      </c>
      <c r="I34" s="14" t="str">
        <f>IFERROR(VLOOKUP(B34,Orders!$A:$I,8,0),"")</f>
        <v>FOB Shipping Point</v>
      </c>
      <c r="J34" s="16">
        <f t="shared" ref="J34:J65" si="2">IF(I34="","",IF(I34="FOB Shipping Point",C34,D34))</f>
        <v>45958</v>
      </c>
      <c r="K34" s="15">
        <f t="shared" si="1"/>
        <v>408227.16000000003</v>
      </c>
      <c r="L34" s="14" t="str">
        <f>IF(H34="","Excluded - no order",IF(J34&lt;Assumptions!$B$3,"Pre-Q4",IF(J34&lt;=Assumptions!$B$4,"Q4 2025","Deferred Q1 2026")))</f>
        <v>Q4 2025</v>
      </c>
    </row>
    <row r="35" spans="1:12" ht="15" customHeight="1" x14ac:dyDescent="0.2">
      <c r="A35" s="14" t="s">
        <v>163</v>
      </c>
      <c r="B35" s="14" t="s">
        <v>164</v>
      </c>
      <c r="C35" s="18">
        <v>45952</v>
      </c>
      <c r="D35" s="18">
        <v>45957</v>
      </c>
      <c r="E35" s="14">
        <v>405</v>
      </c>
      <c r="F35" s="14" t="s">
        <v>149</v>
      </c>
      <c r="G35" s="14" t="s">
        <v>150</v>
      </c>
      <c r="H35" s="15">
        <f>IFERROR(VLOOKUP(B35,Orders!$A:$I,6,0),"")</f>
        <v>487.78</v>
      </c>
      <c r="I35" s="14" t="str">
        <f>IFERROR(VLOOKUP(B35,Orders!$A:$I,8,0),"")</f>
        <v>FOB Shipping Point</v>
      </c>
      <c r="J35" s="16">
        <f t="shared" si="2"/>
        <v>45952</v>
      </c>
      <c r="K35" s="15">
        <f t="shared" si="1"/>
        <v>197550.9</v>
      </c>
      <c r="L35" s="14" t="str">
        <f>IF(H35="","Excluded - no order",IF(J35&lt;Assumptions!$B$3,"Pre-Q4",IF(J35&lt;=Assumptions!$B$4,"Q4 2025","Deferred Q1 2026")))</f>
        <v>Q4 2025</v>
      </c>
    </row>
    <row r="36" spans="1:12" ht="15" customHeight="1" x14ac:dyDescent="0.2">
      <c r="A36" s="14" t="s">
        <v>165</v>
      </c>
      <c r="B36" s="14" t="s">
        <v>166</v>
      </c>
      <c r="C36" s="18">
        <v>46022</v>
      </c>
      <c r="D36" s="18">
        <v>46025</v>
      </c>
      <c r="E36" s="14">
        <v>615</v>
      </c>
      <c r="F36" s="14" t="s">
        <v>73</v>
      </c>
      <c r="G36" s="14" t="s">
        <v>74</v>
      </c>
      <c r="H36" s="15">
        <f>IFERROR(VLOOKUP(B36,Orders!$A:$I,6,0),"")</f>
        <v>218.52</v>
      </c>
      <c r="I36" s="14" t="str">
        <f>IFERROR(VLOOKUP(B36,Orders!$A:$I,8,0),"")</f>
        <v>FOB Shipping Point</v>
      </c>
      <c r="J36" s="16">
        <f t="shared" si="2"/>
        <v>46022</v>
      </c>
      <c r="K36" s="15">
        <f t="shared" si="1"/>
        <v>134389.80000000002</v>
      </c>
      <c r="L36" s="14" t="str">
        <f>IF(H36="","Excluded - no order",IF(J36&lt;Assumptions!$B$3,"Pre-Q4",IF(J36&lt;=Assumptions!$B$4,"Q4 2025","Deferred Q1 2026")))</f>
        <v>Q4 2025</v>
      </c>
    </row>
    <row r="37" spans="1:12" ht="15" customHeight="1" x14ac:dyDescent="0.2">
      <c r="A37" s="14" t="s">
        <v>167</v>
      </c>
      <c r="B37" s="14" t="s">
        <v>168</v>
      </c>
      <c r="C37" s="18">
        <v>45977</v>
      </c>
      <c r="D37" s="18">
        <v>45980</v>
      </c>
      <c r="E37" s="14">
        <v>1324</v>
      </c>
      <c r="F37" s="14" t="s">
        <v>118</v>
      </c>
      <c r="G37" s="14" t="s">
        <v>119</v>
      </c>
      <c r="H37" s="15">
        <f>IFERROR(VLOOKUP(B37,Orders!$A:$I,6,0),"")</f>
        <v>341.98</v>
      </c>
      <c r="I37" s="14" t="str">
        <f>IFERROR(VLOOKUP(B37,Orders!$A:$I,8,0),"")</f>
        <v>FOB Destination</v>
      </c>
      <c r="J37" s="16">
        <f t="shared" si="2"/>
        <v>45980</v>
      </c>
      <c r="K37" s="15">
        <f t="shared" si="1"/>
        <v>452781.52</v>
      </c>
      <c r="L37" s="14" t="str">
        <f>IF(H37="","Excluded - no order",IF(J37&lt;Assumptions!$B$3,"Pre-Q4",IF(J37&lt;=Assumptions!$B$4,"Q4 2025","Deferred Q1 2026")))</f>
        <v>Q4 2025</v>
      </c>
    </row>
    <row r="38" spans="1:12" ht="15" customHeight="1" x14ac:dyDescent="0.2">
      <c r="A38" s="14" t="s">
        <v>169</v>
      </c>
      <c r="B38" s="14" t="s">
        <v>170</v>
      </c>
      <c r="C38" s="18">
        <v>45998</v>
      </c>
      <c r="D38" s="18">
        <v>46001</v>
      </c>
      <c r="E38" s="14">
        <v>1021</v>
      </c>
      <c r="F38" s="14" t="s">
        <v>171</v>
      </c>
      <c r="G38" s="14" t="s">
        <v>172</v>
      </c>
      <c r="H38" s="15">
        <f>IFERROR(VLOOKUP(B38,Orders!$A:$I,6,0),"")</f>
        <v>253.84</v>
      </c>
      <c r="I38" s="14" t="str">
        <f>IFERROR(VLOOKUP(B38,Orders!$A:$I,8,0),"")</f>
        <v>FOB Shipping Point</v>
      </c>
      <c r="J38" s="16">
        <f t="shared" si="2"/>
        <v>45998</v>
      </c>
      <c r="K38" s="15">
        <f t="shared" si="1"/>
        <v>259170.64</v>
      </c>
      <c r="L38" s="14" t="str">
        <f>IF(H38="","Excluded - no order",IF(J38&lt;Assumptions!$B$3,"Pre-Q4",IF(J38&lt;=Assumptions!$B$4,"Q4 2025","Deferred Q1 2026")))</f>
        <v>Q4 2025</v>
      </c>
    </row>
    <row r="39" spans="1:12" ht="15" customHeight="1" x14ac:dyDescent="0.2">
      <c r="A39" s="14" t="s">
        <v>173</v>
      </c>
      <c r="B39" s="14" t="s">
        <v>174</v>
      </c>
      <c r="C39" s="18">
        <v>46006</v>
      </c>
      <c r="D39" s="18">
        <v>46007</v>
      </c>
      <c r="E39" s="14">
        <v>54</v>
      </c>
      <c r="F39" s="14" t="s">
        <v>149</v>
      </c>
      <c r="G39" s="14" t="s">
        <v>150</v>
      </c>
      <c r="H39" s="15">
        <f>IFERROR(VLOOKUP(B39,Orders!$A:$I,6,0),"")</f>
        <v>141.47</v>
      </c>
      <c r="I39" s="14" t="str">
        <f>IFERROR(VLOOKUP(B39,Orders!$A:$I,8,0),"")</f>
        <v>FOB Shipping Point</v>
      </c>
      <c r="J39" s="16">
        <f t="shared" si="2"/>
        <v>46006</v>
      </c>
      <c r="K39" s="15">
        <f t="shared" si="1"/>
        <v>7639.38</v>
      </c>
      <c r="L39" s="14" t="str">
        <f>IF(H39="","Excluded - no order",IF(J39&lt;Assumptions!$B$3,"Pre-Q4",IF(J39&lt;=Assumptions!$B$4,"Q4 2025","Deferred Q1 2026")))</f>
        <v>Q4 2025</v>
      </c>
    </row>
    <row r="40" spans="1:12" ht="15" customHeight="1" x14ac:dyDescent="0.2">
      <c r="A40" s="14" t="s">
        <v>175</v>
      </c>
      <c r="B40" s="14" t="s">
        <v>174</v>
      </c>
      <c r="C40" s="18">
        <v>46008</v>
      </c>
      <c r="D40" s="18">
        <v>46009</v>
      </c>
      <c r="E40" s="14">
        <v>39</v>
      </c>
      <c r="F40" s="14" t="s">
        <v>176</v>
      </c>
      <c r="G40" s="14" t="s">
        <v>177</v>
      </c>
      <c r="H40" s="15">
        <f>IFERROR(VLOOKUP(B40,Orders!$A:$I,6,0),"")</f>
        <v>141.47</v>
      </c>
      <c r="I40" s="14" t="str">
        <f>IFERROR(VLOOKUP(B40,Orders!$A:$I,8,0),"")</f>
        <v>FOB Shipping Point</v>
      </c>
      <c r="J40" s="16">
        <f t="shared" si="2"/>
        <v>46008</v>
      </c>
      <c r="K40" s="15">
        <f t="shared" si="1"/>
        <v>5517.33</v>
      </c>
      <c r="L40" s="14" t="str">
        <f>IF(H40="","Excluded - no order",IF(J40&lt;Assumptions!$B$3,"Pre-Q4",IF(J40&lt;=Assumptions!$B$4,"Q4 2025","Deferred Q1 2026")))</f>
        <v>Q4 2025</v>
      </c>
    </row>
    <row r="41" spans="1:12" ht="15" customHeight="1" x14ac:dyDescent="0.2">
      <c r="A41" s="14" t="s">
        <v>178</v>
      </c>
      <c r="B41" s="14" t="s">
        <v>179</v>
      </c>
      <c r="C41" s="18">
        <v>45939</v>
      </c>
      <c r="D41" s="18">
        <v>45941</v>
      </c>
      <c r="E41" s="14">
        <v>795</v>
      </c>
      <c r="F41" s="14" t="s">
        <v>122</v>
      </c>
      <c r="G41" s="14" t="s">
        <v>123</v>
      </c>
      <c r="H41" s="15">
        <f>IFERROR(VLOOKUP(B41,Orders!$A:$I,6,0),"")</f>
        <v>138.4</v>
      </c>
      <c r="I41" s="14" t="str">
        <f>IFERROR(VLOOKUP(B41,Orders!$A:$I,8,0),"")</f>
        <v>FOB Destination</v>
      </c>
      <c r="J41" s="16">
        <f t="shared" si="2"/>
        <v>45941</v>
      </c>
      <c r="K41" s="15">
        <f t="shared" si="1"/>
        <v>110028</v>
      </c>
      <c r="L41" s="14" t="str">
        <f>IF(H41="","Excluded - no order",IF(J41&lt;Assumptions!$B$3,"Pre-Q4",IF(J41&lt;=Assumptions!$B$4,"Q4 2025","Deferred Q1 2026")))</f>
        <v>Q4 2025</v>
      </c>
    </row>
    <row r="42" spans="1:12" ht="15" customHeight="1" x14ac:dyDescent="0.2">
      <c r="A42" s="14" t="s">
        <v>180</v>
      </c>
      <c r="B42" s="14" t="s">
        <v>181</v>
      </c>
      <c r="C42" s="18">
        <v>45995</v>
      </c>
      <c r="D42" s="18">
        <v>45998</v>
      </c>
      <c r="E42" s="14">
        <v>1021</v>
      </c>
      <c r="F42" s="14" t="s">
        <v>182</v>
      </c>
      <c r="G42" s="14" t="s">
        <v>183</v>
      </c>
      <c r="H42" s="15">
        <f>IFERROR(VLOOKUP(B42,Orders!$A:$I,6,0),"")</f>
        <v>338.74</v>
      </c>
      <c r="I42" s="14" t="str">
        <f>IFERROR(VLOOKUP(B42,Orders!$A:$I,8,0),"")</f>
        <v>FOB Shipping Point</v>
      </c>
      <c r="J42" s="16">
        <f t="shared" si="2"/>
        <v>45995</v>
      </c>
      <c r="K42" s="15">
        <f t="shared" si="1"/>
        <v>345853.54000000004</v>
      </c>
      <c r="L42" s="14" t="str">
        <f>IF(H42="","Excluded - no order",IF(J42&lt;Assumptions!$B$3,"Pre-Q4",IF(J42&lt;=Assumptions!$B$4,"Q4 2025","Deferred Q1 2026")))</f>
        <v>Q4 2025</v>
      </c>
    </row>
    <row r="43" spans="1:12" ht="15" customHeight="1" x14ac:dyDescent="0.2">
      <c r="A43" s="14" t="s">
        <v>184</v>
      </c>
      <c r="B43" s="14" t="s">
        <v>185</v>
      </c>
      <c r="C43" s="18">
        <v>45991</v>
      </c>
      <c r="D43" s="18">
        <v>45995</v>
      </c>
      <c r="E43" s="14">
        <v>479</v>
      </c>
      <c r="F43" s="14" t="s">
        <v>186</v>
      </c>
      <c r="G43" s="14" t="s">
        <v>187</v>
      </c>
      <c r="H43" s="15">
        <f>IFERROR(VLOOKUP(B43,Orders!$A:$I,6,0),"")</f>
        <v>172.86</v>
      </c>
      <c r="I43" s="14" t="str">
        <f>IFERROR(VLOOKUP(B43,Orders!$A:$I,8,0),"")</f>
        <v>FOB Shipping Point</v>
      </c>
      <c r="J43" s="16">
        <f t="shared" si="2"/>
        <v>45991</v>
      </c>
      <c r="K43" s="15">
        <f t="shared" si="1"/>
        <v>82799.94</v>
      </c>
      <c r="L43" s="14" t="str">
        <f>IF(H43="","Excluded - no order",IF(J43&lt;Assumptions!$B$3,"Pre-Q4",IF(J43&lt;=Assumptions!$B$4,"Q4 2025","Deferred Q1 2026")))</f>
        <v>Q4 2025</v>
      </c>
    </row>
    <row r="44" spans="1:12" ht="15" customHeight="1" x14ac:dyDescent="0.2">
      <c r="A44" s="14" t="s">
        <v>188</v>
      </c>
      <c r="B44" s="14" t="s">
        <v>185</v>
      </c>
      <c r="C44" s="18">
        <v>45993</v>
      </c>
      <c r="D44" s="18">
        <v>45997</v>
      </c>
      <c r="E44" s="14">
        <v>355</v>
      </c>
      <c r="F44" s="14" t="s">
        <v>189</v>
      </c>
      <c r="G44" s="14" t="s">
        <v>190</v>
      </c>
      <c r="H44" s="15">
        <f>IFERROR(VLOOKUP(B44,Orders!$A:$I,6,0),"")</f>
        <v>172.86</v>
      </c>
      <c r="I44" s="14" t="str">
        <f>IFERROR(VLOOKUP(B44,Orders!$A:$I,8,0),"")</f>
        <v>FOB Shipping Point</v>
      </c>
      <c r="J44" s="16">
        <f t="shared" si="2"/>
        <v>45993</v>
      </c>
      <c r="K44" s="15">
        <f t="shared" si="1"/>
        <v>61365.3</v>
      </c>
      <c r="L44" s="14" t="str">
        <f>IF(H44="","Excluded - no order",IF(J44&lt;Assumptions!$B$3,"Pre-Q4",IF(J44&lt;=Assumptions!$B$4,"Q4 2025","Deferred Q1 2026")))</f>
        <v>Q4 2025</v>
      </c>
    </row>
    <row r="45" spans="1:12" ht="15" customHeight="1" x14ac:dyDescent="0.2">
      <c r="A45" s="14" t="s">
        <v>191</v>
      </c>
      <c r="B45" s="14" t="s">
        <v>192</v>
      </c>
      <c r="C45" s="18">
        <v>46003</v>
      </c>
      <c r="D45" s="18">
        <v>46004</v>
      </c>
      <c r="E45" s="14">
        <v>1803</v>
      </c>
      <c r="F45" s="14" t="s">
        <v>193</v>
      </c>
      <c r="G45" s="14" t="s">
        <v>194</v>
      </c>
      <c r="H45" s="15">
        <f>IFERROR(VLOOKUP(B45,Orders!$A:$I,6,0),"")</f>
        <v>16.760000000000002</v>
      </c>
      <c r="I45" s="14" t="str">
        <f>IFERROR(VLOOKUP(B45,Orders!$A:$I,8,0),"")</f>
        <v>FOB Shipping Point</v>
      </c>
      <c r="J45" s="16">
        <f t="shared" si="2"/>
        <v>46003</v>
      </c>
      <c r="K45" s="15">
        <f t="shared" si="1"/>
        <v>30218.280000000002</v>
      </c>
      <c r="L45" s="14" t="str">
        <f>IF(H45="","Excluded - no order",IF(J45&lt;Assumptions!$B$3,"Pre-Q4",IF(J45&lt;=Assumptions!$B$4,"Q4 2025","Deferred Q1 2026")))</f>
        <v>Q4 2025</v>
      </c>
    </row>
    <row r="46" spans="1:12" ht="15" customHeight="1" x14ac:dyDescent="0.2">
      <c r="A46" s="14" t="s">
        <v>195</v>
      </c>
      <c r="B46" s="14" t="s">
        <v>196</v>
      </c>
      <c r="C46" s="18">
        <v>45996</v>
      </c>
      <c r="D46" s="18">
        <v>46000</v>
      </c>
      <c r="E46" s="14">
        <v>1334</v>
      </c>
      <c r="F46" s="14" t="s">
        <v>77</v>
      </c>
      <c r="G46" s="14" t="s">
        <v>78</v>
      </c>
      <c r="H46" s="15">
        <f>IFERROR(VLOOKUP(B46,Orders!$A:$I,6,0),"")</f>
        <v>405.9</v>
      </c>
      <c r="I46" s="14" t="str">
        <f>IFERROR(VLOOKUP(B46,Orders!$A:$I,8,0),"")</f>
        <v>FOB Destination</v>
      </c>
      <c r="J46" s="16">
        <f t="shared" si="2"/>
        <v>46000</v>
      </c>
      <c r="K46" s="15">
        <f t="shared" si="1"/>
        <v>541470.6</v>
      </c>
      <c r="L46" s="14" t="str">
        <f>IF(H46="","Excluded - no order",IF(J46&lt;Assumptions!$B$3,"Pre-Q4",IF(J46&lt;=Assumptions!$B$4,"Q4 2025","Deferred Q1 2026")))</f>
        <v>Q4 2025</v>
      </c>
    </row>
    <row r="47" spans="1:12" ht="15" customHeight="1" x14ac:dyDescent="0.2">
      <c r="A47" s="14" t="s">
        <v>197</v>
      </c>
      <c r="B47" s="14" t="s">
        <v>198</v>
      </c>
      <c r="C47" s="18">
        <v>45947</v>
      </c>
      <c r="D47" s="18">
        <v>45952</v>
      </c>
      <c r="E47" s="14">
        <v>1909</v>
      </c>
      <c r="F47" s="14" t="s">
        <v>199</v>
      </c>
      <c r="G47" s="14" t="s">
        <v>200</v>
      </c>
      <c r="H47" s="15">
        <f>IFERROR(VLOOKUP(B47,Orders!$A:$I,6,0),"")</f>
        <v>161.63999999999999</v>
      </c>
      <c r="I47" s="14" t="str">
        <f>IFERROR(VLOOKUP(B47,Orders!$A:$I,8,0),"")</f>
        <v>FOB Shipping Point</v>
      </c>
      <c r="J47" s="16">
        <f t="shared" si="2"/>
        <v>45947</v>
      </c>
      <c r="K47" s="15">
        <f t="shared" si="1"/>
        <v>308570.75999999995</v>
      </c>
      <c r="L47" s="14" t="str">
        <f>IF(H47="","Excluded - no order",IF(J47&lt;Assumptions!$B$3,"Pre-Q4",IF(J47&lt;=Assumptions!$B$4,"Q4 2025","Deferred Q1 2026")))</f>
        <v>Q4 2025</v>
      </c>
    </row>
    <row r="48" spans="1:12" ht="15" customHeight="1" x14ac:dyDescent="0.2">
      <c r="A48" s="14" t="s">
        <v>201</v>
      </c>
      <c r="B48" s="14" t="s">
        <v>202</v>
      </c>
      <c r="C48" s="18">
        <v>45953</v>
      </c>
      <c r="D48" s="18">
        <v>45954</v>
      </c>
      <c r="E48" s="14">
        <v>754</v>
      </c>
      <c r="F48" s="14" t="s">
        <v>203</v>
      </c>
      <c r="G48" s="14" t="s">
        <v>204</v>
      </c>
      <c r="H48" s="15">
        <f>IFERROR(VLOOKUP(B48,Orders!$A:$I,6,0),"")</f>
        <v>245.34</v>
      </c>
      <c r="I48" s="14" t="str">
        <f>IFERROR(VLOOKUP(B48,Orders!$A:$I,8,0),"")</f>
        <v>FOB Destination</v>
      </c>
      <c r="J48" s="16">
        <f t="shared" si="2"/>
        <v>45954</v>
      </c>
      <c r="K48" s="15">
        <f t="shared" si="1"/>
        <v>184986.36000000002</v>
      </c>
      <c r="L48" s="14" t="str">
        <f>IF(H48="","Excluded - no order",IF(J48&lt;Assumptions!$B$3,"Pre-Q4",IF(J48&lt;=Assumptions!$B$4,"Q4 2025","Deferred Q1 2026")))</f>
        <v>Q4 2025</v>
      </c>
    </row>
    <row r="49" spans="1:12" ht="15" customHeight="1" x14ac:dyDescent="0.2">
      <c r="A49" s="14" t="s">
        <v>205</v>
      </c>
      <c r="B49" s="14" t="s">
        <v>206</v>
      </c>
      <c r="C49" s="18">
        <v>45954</v>
      </c>
      <c r="D49" s="18">
        <v>45959</v>
      </c>
      <c r="E49" s="14">
        <v>216</v>
      </c>
      <c r="F49" s="14" t="s">
        <v>207</v>
      </c>
      <c r="G49" s="14" t="s">
        <v>208</v>
      </c>
      <c r="H49" s="15">
        <f>IFERROR(VLOOKUP(B49,Orders!$A:$I,6,0),"")</f>
        <v>137.72</v>
      </c>
      <c r="I49" s="14" t="str">
        <f>IFERROR(VLOOKUP(B49,Orders!$A:$I,8,0),"")</f>
        <v>FOB Destination</v>
      </c>
      <c r="J49" s="16">
        <f t="shared" si="2"/>
        <v>45959</v>
      </c>
      <c r="K49" s="15">
        <f t="shared" si="1"/>
        <v>29747.52</v>
      </c>
      <c r="L49" s="14" t="str">
        <f>IF(H49="","Excluded - no order",IF(J49&lt;Assumptions!$B$3,"Pre-Q4",IF(J49&lt;=Assumptions!$B$4,"Q4 2025","Deferred Q1 2026")))</f>
        <v>Q4 2025</v>
      </c>
    </row>
    <row r="50" spans="1:12" ht="15" customHeight="1" x14ac:dyDescent="0.2">
      <c r="A50" s="14" t="s">
        <v>209</v>
      </c>
      <c r="B50" s="14" t="s">
        <v>206</v>
      </c>
      <c r="C50" s="18">
        <v>45956</v>
      </c>
      <c r="D50" s="18">
        <v>45961</v>
      </c>
      <c r="E50" s="14">
        <v>214</v>
      </c>
      <c r="F50" s="14" t="s">
        <v>210</v>
      </c>
      <c r="G50" s="14" t="s">
        <v>211</v>
      </c>
      <c r="H50" s="15">
        <f>IFERROR(VLOOKUP(B50,Orders!$A:$I,6,0),"")</f>
        <v>137.72</v>
      </c>
      <c r="I50" s="14" t="str">
        <f>IFERROR(VLOOKUP(B50,Orders!$A:$I,8,0),"")</f>
        <v>FOB Destination</v>
      </c>
      <c r="J50" s="16">
        <f t="shared" si="2"/>
        <v>45961</v>
      </c>
      <c r="K50" s="15">
        <f t="shared" si="1"/>
        <v>29472.079999999998</v>
      </c>
      <c r="L50" s="14" t="str">
        <f>IF(H50="","Excluded - no order",IF(J50&lt;Assumptions!$B$3,"Pre-Q4",IF(J50&lt;=Assumptions!$B$4,"Q4 2025","Deferred Q1 2026")))</f>
        <v>Q4 2025</v>
      </c>
    </row>
    <row r="51" spans="1:12" ht="15" customHeight="1" x14ac:dyDescent="0.2">
      <c r="A51" s="14" t="s">
        <v>212</v>
      </c>
      <c r="B51" s="14" t="s">
        <v>213</v>
      </c>
      <c r="C51" s="18">
        <v>46009</v>
      </c>
      <c r="D51" s="18">
        <v>46015</v>
      </c>
      <c r="E51" s="14">
        <v>380</v>
      </c>
      <c r="F51" s="14" t="s">
        <v>100</v>
      </c>
      <c r="G51" s="14" t="s">
        <v>101</v>
      </c>
      <c r="H51" s="15">
        <f>IFERROR(VLOOKUP(B51,Orders!$A:$I,6,0),"")</f>
        <v>366.81</v>
      </c>
      <c r="I51" s="14" t="str">
        <f>IFERROR(VLOOKUP(B51,Orders!$A:$I,8,0),"")</f>
        <v>FOB Destination</v>
      </c>
      <c r="J51" s="16">
        <f t="shared" si="2"/>
        <v>46015</v>
      </c>
      <c r="K51" s="15">
        <f t="shared" si="1"/>
        <v>139387.79999999999</v>
      </c>
      <c r="L51" s="14" t="str">
        <f>IF(H51="","Excluded - no order",IF(J51&lt;Assumptions!$B$3,"Pre-Q4",IF(J51&lt;=Assumptions!$B$4,"Q4 2025","Deferred Q1 2026")))</f>
        <v>Q4 2025</v>
      </c>
    </row>
    <row r="52" spans="1:12" ht="15" customHeight="1" x14ac:dyDescent="0.2">
      <c r="A52" s="14" t="s">
        <v>214</v>
      </c>
      <c r="B52" s="14" t="s">
        <v>213</v>
      </c>
      <c r="C52" s="18">
        <v>46011</v>
      </c>
      <c r="D52" s="18">
        <v>46017</v>
      </c>
      <c r="E52" s="14">
        <v>245</v>
      </c>
      <c r="F52" s="14" t="s">
        <v>112</v>
      </c>
      <c r="G52" s="14" t="s">
        <v>113</v>
      </c>
      <c r="H52" s="15">
        <f>IFERROR(VLOOKUP(B52,Orders!$A:$I,6,0),"")</f>
        <v>366.81</v>
      </c>
      <c r="I52" s="14" t="str">
        <f>IFERROR(VLOOKUP(B52,Orders!$A:$I,8,0),"")</f>
        <v>FOB Destination</v>
      </c>
      <c r="J52" s="16">
        <f t="shared" si="2"/>
        <v>46017</v>
      </c>
      <c r="K52" s="15">
        <f t="shared" si="1"/>
        <v>89868.45</v>
      </c>
      <c r="L52" s="14" t="str">
        <f>IF(H52="","Excluded - no order",IF(J52&lt;Assumptions!$B$3,"Pre-Q4",IF(J52&lt;=Assumptions!$B$4,"Q4 2025","Deferred Q1 2026")))</f>
        <v>Q4 2025</v>
      </c>
    </row>
    <row r="53" spans="1:12" ht="15" customHeight="1" x14ac:dyDescent="0.2">
      <c r="A53" s="14" t="s">
        <v>215</v>
      </c>
      <c r="B53" s="14" t="s">
        <v>216</v>
      </c>
      <c r="C53" s="18">
        <v>46004</v>
      </c>
      <c r="D53" s="18">
        <v>46006</v>
      </c>
      <c r="E53" s="14">
        <v>1190</v>
      </c>
      <c r="F53" s="14" t="s">
        <v>118</v>
      </c>
      <c r="G53" s="14" t="s">
        <v>119</v>
      </c>
      <c r="H53" s="15">
        <f>IFERROR(VLOOKUP(B53,Orders!$A:$I,6,0),"")</f>
        <v>68.28</v>
      </c>
      <c r="I53" s="14" t="str">
        <f>IFERROR(VLOOKUP(B53,Orders!$A:$I,8,0),"")</f>
        <v>FOB Destination</v>
      </c>
      <c r="J53" s="16">
        <f t="shared" si="2"/>
        <v>46006</v>
      </c>
      <c r="K53" s="15">
        <f t="shared" si="1"/>
        <v>81253.2</v>
      </c>
      <c r="L53" s="14" t="str">
        <f>IF(H53="","Excluded - no order",IF(J53&lt;Assumptions!$B$3,"Pre-Q4",IF(J53&lt;=Assumptions!$B$4,"Q4 2025","Deferred Q1 2026")))</f>
        <v>Q4 2025</v>
      </c>
    </row>
    <row r="54" spans="1:12" ht="15" customHeight="1" x14ac:dyDescent="0.2">
      <c r="A54" s="14" t="s">
        <v>217</v>
      </c>
      <c r="B54" s="14" t="s">
        <v>218</v>
      </c>
      <c r="C54" s="18">
        <v>45939</v>
      </c>
      <c r="D54" s="18">
        <v>45941</v>
      </c>
      <c r="E54" s="14">
        <v>565</v>
      </c>
      <c r="F54" s="14" t="s">
        <v>122</v>
      </c>
      <c r="G54" s="14" t="s">
        <v>123</v>
      </c>
      <c r="H54" s="15">
        <f>IFERROR(VLOOKUP(B54,Orders!$A:$I,6,0),"")</f>
        <v>76.97</v>
      </c>
      <c r="I54" s="14" t="str">
        <f>IFERROR(VLOOKUP(B54,Orders!$A:$I,8,0),"")</f>
        <v>FOB Destination</v>
      </c>
      <c r="J54" s="16">
        <f t="shared" si="2"/>
        <v>45941</v>
      </c>
      <c r="K54" s="15">
        <f t="shared" si="1"/>
        <v>43488.05</v>
      </c>
      <c r="L54" s="14" t="str">
        <f>IF(H54="","Excluded - no order",IF(J54&lt;Assumptions!$B$3,"Pre-Q4",IF(J54&lt;=Assumptions!$B$4,"Q4 2025","Deferred Q1 2026")))</f>
        <v>Q4 2025</v>
      </c>
    </row>
    <row r="55" spans="1:12" ht="15" customHeight="1" x14ac:dyDescent="0.2">
      <c r="A55" s="14" t="s">
        <v>219</v>
      </c>
      <c r="B55" s="14" t="s">
        <v>220</v>
      </c>
      <c r="C55" s="18">
        <v>45952</v>
      </c>
      <c r="D55" s="18">
        <v>45956</v>
      </c>
      <c r="E55" s="14">
        <v>284</v>
      </c>
      <c r="F55" s="14" t="s">
        <v>149</v>
      </c>
      <c r="G55" s="14" t="s">
        <v>150</v>
      </c>
      <c r="H55" s="15">
        <f>IFERROR(VLOOKUP(B55,Orders!$A:$I,6,0),"")</f>
        <v>285</v>
      </c>
      <c r="I55" s="14" t="str">
        <f>IFERROR(VLOOKUP(B55,Orders!$A:$I,8,0),"")</f>
        <v>FOB Shipping Point</v>
      </c>
      <c r="J55" s="16">
        <f t="shared" si="2"/>
        <v>45952</v>
      </c>
      <c r="K55" s="15">
        <f t="shared" si="1"/>
        <v>80940</v>
      </c>
      <c r="L55" s="14" t="str">
        <f>IF(H55="","Excluded - no order",IF(J55&lt;Assumptions!$B$3,"Pre-Q4",IF(J55&lt;=Assumptions!$B$4,"Q4 2025","Deferred Q1 2026")))</f>
        <v>Q4 2025</v>
      </c>
    </row>
    <row r="56" spans="1:12" ht="15" customHeight="1" x14ac:dyDescent="0.2">
      <c r="A56" s="14" t="s">
        <v>221</v>
      </c>
      <c r="B56" s="14" t="s">
        <v>222</v>
      </c>
      <c r="C56" s="18">
        <v>45965</v>
      </c>
      <c r="D56" s="18">
        <v>45968</v>
      </c>
      <c r="E56" s="14">
        <v>356</v>
      </c>
      <c r="F56" s="14" t="s">
        <v>112</v>
      </c>
      <c r="G56" s="14" t="s">
        <v>113</v>
      </c>
      <c r="H56" s="15">
        <f>IFERROR(VLOOKUP(B56,Orders!$A:$I,6,0),"")</f>
        <v>309.08999999999997</v>
      </c>
      <c r="I56" s="14" t="str">
        <f>IFERROR(VLOOKUP(B56,Orders!$A:$I,8,0),"")</f>
        <v>FOB Shipping Point</v>
      </c>
      <c r="J56" s="16">
        <f t="shared" si="2"/>
        <v>45965</v>
      </c>
      <c r="K56" s="15">
        <f t="shared" si="1"/>
        <v>110036.04</v>
      </c>
      <c r="L56" s="14" t="str">
        <f>IF(H56="","Excluded - no order",IF(J56&lt;Assumptions!$B$3,"Pre-Q4",IF(J56&lt;=Assumptions!$B$4,"Q4 2025","Deferred Q1 2026")))</f>
        <v>Q4 2025</v>
      </c>
    </row>
    <row r="57" spans="1:12" ht="15" customHeight="1" x14ac:dyDescent="0.2">
      <c r="A57" s="14" t="s">
        <v>223</v>
      </c>
      <c r="B57" s="14" t="s">
        <v>224</v>
      </c>
      <c r="C57" s="18">
        <v>46012</v>
      </c>
      <c r="D57" s="18">
        <v>46014</v>
      </c>
      <c r="E57" s="14">
        <v>294</v>
      </c>
      <c r="F57" s="14" t="s">
        <v>225</v>
      </c>
      <c r="G57" s="14" t="s">
        <v>226</v>
      </c>
      <c r="H57" s="15">
        <f>IFERROR(VLOOKUP(B57,Orders!$A:$I,6,0),"")</f>
        <v>469.53</v>
      </c>
      <c r="I57" s="14" t="str">
        <f>IFERROR(VLOOKUP(B57,Orders!$A:$I,8,0),"")</f>
        <v>FOB Destination</v>
      </c>
      <c r="J57" s="16">
        <f t="shared" si="2"/>
        <v>46014</v>
      </c>
      <c r="K57" s="15">
        <f t="shared" si="1"/>
        <v>138041.81999999998</v>
      </c>
      <c r="L57" s="14" t="str">
        <f>IF(H57="","Excluded - no order",IF(J57&lt;Assumptions!$B$3,"Pre-Q4",IF(J57&lt;=Assumptions!$B$4,"Q4 2025","Deferred Q1 2026")))</f>
        <v>Q4 2025</v>
      </c>
    </row>
    <row r="58" spans="1:12" ht="15" customHeight="1" x14ac:dyDescent="0.2">
      <c r="A58" s="14" t="s">
        <v>227</v>
      </c>
      <c r="B58" s="14" t="s">
        <v>228</v>
      </c>
      <c r="C58" s="18">
        <v>45951</v>
      </c>
      <c r="D58" s="18">
        <v>45953</v>
      </c>
      <c r="E58" s="14">
        <v>632</v>
      </c>
      <c r="F58" s="14" t="s">
        <v>229</v>
      </c>
      <c r="G58" s="14" t="s">
        <v>230</v>
      </c>
      <c r="H58" s="15">
        <f>IFERROR(VLOOKUP(B58,Orders!$A:$I,6,0),"")</f>
        <v>69.84</v>
      </c>
      <c r="I58" s="14" t="str">
        <f>IFERROR(VLOOKUP(B58,Orders!$A:$I,8,0),"")</f>
        <v>FOB Destination</v>
      </c>
      <c r="J58" s="16">
        <f t="shared" si="2"/>
        <v>45953</v>
      </c>
      <c r="K58" s="15">
        <f t="shared" si="1"/>
        <v>44138.880000000005</v>
      </c>
      <c r="L58" s="14" t="str">
        <f>IF(H58="","Excluded - no order",IF(J58&lt;Assumptions!$B$3,"Pre-Q4",IF(J58&lt;=Assumptions!$B$4,"Q4 2025","Deferred Q1 2026")))</f>
        <v>Q4 2025</v>
      </c>
    </row>
    <row r="59" spans="1:12" ht="15" customHeight="1" x14ac:dyDescent="0.2">
      <c r="A59" s="14" t="s">
        <v>231</v>
      </c>
      <c r="B59" s="14" t="s">
        <v>232</v>
      </c>
      <c r="C59" s="18">
        <v>45961</v>
      </c>
      <c r="D59" s="18">
        <v>45964</v>
      </c>
      <c r="E59" s="14">
        <v>1881</v>
      </c>
      <c r="F59" s="14" t="s">
        <v>233</v>
      </c>
      <c r="G59" s="14" t="s">
        <v>234</v>
      </c>
      <c r="H59" s="15">
        <f>IFERROR(VLOOKUP(B59,Orders!$A:$I,6,0),"")</f>
        <v>404.6</v>
      </c>
      <c r="I59" s="14" t="str">
        <f>IFERROR(VLOOKUP(B59,Orders!$A:$I,8,0),"")</f>
        <v>FOB Shipping Point</v>
      </c>
      <c r="J59" s="16">
        <f t="shared" si="2"/>
        <v>45961</v>
      </c>
      <c r="K59" s="15">
        <f t="shared" si="1"/>
        <v>761052.60000000009</v>
      </c>
      <c r="L59" s="14" t="str">
        <f>IF(H59="","Excluded - no order",IF(J59&lt;Assumptions!$B$3,"Pre-Q4",IF(J59&lt;=Assumptions!$B$4,"Q4 2025","Deferred Q1 2026")))</f>
        <v>Q4 2025</v>
      </c>
    </row>
    <row r="60" spans="1:12" ht="15" customHeight="1" x14ac:dyDescent="0.2">
      <c r="A60" s="14" t="s">
        <v>235</v>
      </c>
      <c r="B60" s="14" t="s">
        <v>236</v>
      </c>
      <c r="C60" s="18">
        <v>45957</v>
      </c>
      <c r="D60" s="18">
        <v>45961</v>
      </c>
      <c r="E60" s="14">
        <v>539</v>
      </c>
      <c r="F60" s="14" t="s">
        <v>73</v>
      </c>
      <c r="G60" s="14" t="s">
        <v>74</v>
      </c>
      <c r="H60" s="15">
        <f>IFERROR(VLOOKUP(B60,Orders!$A:$I,6,0),"")</f>
        <v>391.67</v>
      </c>
      <c r="I60" s="14" t="str">
        <f>IFERROR(VLOOKUP(B60,Orders!$A:$I,8,0),"")</f>
        <v>FOB Destination</v>
      </c>
      <c r="J60" s="16">
        <f t="shared" si="2"/>
        <v>45961</v>
      </c>
      <c r="K60" s="15">
        <f t="shared" si="1"/>
        <v>211110.13</v>
      </c>
      <c r="L60" s="14" t="str">
        <f>IF(H60="","Excluded - no order",IF(J60&lt;Assumptions!$B$3,"Pre-Q4",IF(J60&lt;=Assumptions!$B$4,"Q4 2025","Deferred Q1 2026")))</f>
        <v>Q4 2025</v>
      </c>
    </row>
    <row r="61" spans="1:12" ht="15" customHeight="1" x14ac:dyDescent="0.2">
      <c r="A61" s="14" t="s">
        <v>237</v>
      </c>
      <c r="B61" s="14" t="s">
        <v>238</v>
      </c>
      <c r="C61" s="18">
        <v>46019</v>
      </c>
      <c r="D61" s="18">
        <v>46025</v>
      </c>
      <c r="E61" s="14">
        <v>1394</v>
      </c>
      <c r="F61" s="14" t="s">
        <v>239</v>
      </c>
      <c r="G61" s="14" t="s">
        <v>240</v>
      </c>
      <c r="H61" s="15">
        <f>IFERROR(VLOOKUP(B61,Orders!$A:$I,6,0),"")</f>
        <v>19.64</v>
      </c>
      <c r="I61" s="14" t="str">
        <f>IFERROR(VLOOKUP(B61,Orders!$A:$I,8,0),"")</f>
        <v>FOB Destination</v>
      </c>
      <c r="J61" s="16">
        <f t="shared" si="2"/>
        <v>46025</v>
      </c>
      <c r="K61" s="15">
        <f t="shared" si="1"/>
        <v>27378.16</v>
      </c>
      <c r="L61" s="14" t="str">
        <f>IF(H61="","Excluded - no order",IF(J61&lt;Assumptions!$B$3,"Pre-Q4",IF(J61&lt;=Assumptions!$B$4,"Q4 2025","Deferred Q1 2026")))</f>
        <v>Deferred Q1 2026</v>
      </c>
    </row>
    <row r="62" spans="1:12" ht="15" customHeight="1" x14ac:dyDescent="0.2">
      <c r="A62" s="14" t="s">
        <v>241</v>
      </c>
      <c r="B62" s="14" t="s">
        <v>242</v>
      </c>
      <c r="C62" s="18">
        <v>45990</v>
      </c>
      <c r="D62" s="18">
        <v>45993</v>
      </c>
      <c r="E62" s="14">
        <v>776</v>
      </c>
      <c r="F62" s="14" t="s">
        <v>118</v>
      </c>
      <c r="G62" s="14" t="s">
        <v>119</v>
      </c>
      <c r="H62" s="15">
        <f>IFERROR(VLOOKUP(B62,Orders!$A:$I,6,0),"")</f>
        <v>163.95</v>
      </c>
      <c r="I62" s="14" t="str">
        <f>IFERROR(VLOOKUP(B62,Orders!$A:$I,8,0),"")</f>
        <v>FOB Shipping Point</v>
      </c>
      <c r="J62" s="16">
        <f t="shared" si="2"/>
        <v>45990</v>
      </c>
      <c r="K62" s="15">
        <f t="shared" si="1"/>
        <v>127225.2</v>
      </c>
      <c r="L62" s="14" t="str">
        <f>IF(H62="","Excluded - no order",IF(J62&lt;Assumptions!$B$3,"Pre-Q4",IF(J62&lt;=Assumptions!$B$4,"Q4 2025","Deferred Q1 2026")))</f>
        <v>Q4 2025</v>
      </c>
    </row>
    <row r="63" spans="1:12" ht="15" customHeight="1" x14ac:dyDescent="0.2">
      <c r="A63" s="14" t="s">
        <v>243</v>
      </c>
      <c r="B63" s="14" t="s">
        <v>244</v>
      </c>
      <c r="C63" s="18">
        <v>45968</v>
      </c>
      <c r="D63" s="18">
        <v>45970</v>
      </c>
      <c r="E63" s="14">
        <v>910</v>
      </c>
      <c r="F63" s="14" t="s">
        <v>77</v>
      </c>
      <c r="G63" s="14" t="s">
        <v>78</v>
      </c>
      <c r="H63" s="15">
        <f>IFERROR(VLOOKUP(B63,Orders!$A:$I,6,0),"")</f>
        <v>210.92</v>
      </c>
      <c r="I63" s="14" t="str">
        <f>IFERROR(VLOOKUP(B63,Orders!$A:$I,8,0),"")</f>
        <v>FOB Destination</v>
      </c>
      <c r="J63" s="16">
        <f t="shared" si="2"/>
        <v>45970</v>
      </c>
      <c r="K63" s="15">
        <f t="shared" si="1"/>
        <v>191937.19999999998</v>
      </c>
      <c r="L63" s="14" t="str">
        <f>IF(H63="","Excluded - no order",IF(J63&lt;Assumptions!$B$3,"Pre-Q4",IF(J63&lt;=Assumptions!$B$4,"Q4 2025","Deferred Q1 2026")))</f>
        <v>Q4 2025</v>
      </c>
    </row>
    <row r="64" spans="1:12" ht="15" customHeight="1" x14ac:dyDescent="0.2">
      <c r="A64" s="14" t="s">
        <v>245</v>
      </c>
      <c r="B64" s="14" t="s">
        <v>244</v>
      </c>
      <c r="C64" s="18">
        <v>45970</v>
      </c>
      <c r="D64" s="18">
        <v>45972</v>
      </c>
      <c r="E64" s="14">
        <v>252</v>
      </c>
      <c r="F64" s="14" t="s">
        <v>77</v>
      </c>
      <c r="G64" s="14" t="s">
        <v>78</v>
      </c>
      <c r="H64" s="15">
        <f>IFERROR(VLOOKUP(B64,Orders!$A:$I,6,0),"")</f>
        <v>210.92</v>
      </c>
      <c r="I64" s="14" t="str">
        <f>IFERROR(VLOOKUP(B64,Orders!$A:$I,8,0),"")</f>
        <v>FOB Destination</v>
      </c>
      <c r="J64" s="16">
        <f t="shared" si="2"/>
        <v>45972</v>
      </c>
      <c r="K64" s="15">
        <f t="shared" si="1"/>
        <v>53151.839999999997</v>
      </c>
      <c r="L64" s="14" t="str">
        <f>IF(H64="","Excluded - no order",IF(J64&lt;Assumptions!$B$3,"Pre-Q4",IF(J64&lt;=Assumptions!$B$4,"Q4 2025","Deferred Q1 2026")))</f>
        <v>Q4 2025</v>
      </c>
    </row>
    <row r="65" spans="1:12" ht="15" customHeight="1" x14ac:dyDescent="0.2">
      <c r="A65" s="14" t="s">
        <v>246</v>
      </c>
      <c r="B65" s="14" t="s">
        <v>247</v>
      </c>
      <c r="C65" s="18">
        <v>45976</v>
      </c>
      <c r="D65" s="18">
        <v>45978</v>
      </c>
      <c r="E65" s="14">
        <v>53</v>
      </c>
      <c r="F65" s="14" t="s">
        <v>248</v>
      </c>
      <c r="G65" s="14" t="s">
        <v>249</v>
      </c>
      <c r="H65" s="15">
        <f>IFERROR(VLOOKUP(B65,Orders!$A:$I,6,0),"")</f>
        <v>51.83</v>
      </c>
      <c r="I65" s="14" t="str">
        <f>IFERROR(VLOOKUP(B65,Orders!$A:$I,8,0),"")</f>
        <v>FOB Shipping Point</v>
      </c>
      <c r="J65" s="16">
        <f t="shared" si="2"/>
        <v>45976</v>
      </c>
      <c r="K65" s="15">
        <f t="shared" si="1"/>
        <v>2746.99</v>
      </c>
      <c r="L65" s="14" t="str">
        <f>IF(H65="","Excluded - no order",IF(J65&lt;Assumptions!$B$3,"Pre-Q4",IF(J65&lt;=Assumptions!$B$4,"Q4 2025","Deferred Q1 2026")))</f>
        <v>Q4 2025</v>
      </c>
    </row>
    <row r="66" spans="1:12" ht="15" customHeight="1" x14ac:dyDescent="0.2">
      <c r="A66" s="14" t="s">
        <v>250</v>
      </c>
      <c r="B66" s="14" t="s">
        <v>251</v>
      </c>
      <c r="C66" s="18">
        <v>45988</v>
      </c>
      <c r="D66" s="18">
        <v>45993</v>
      </c>
      <c r="E66" s="14">
        <v>1145</v>
      </c>
      <c r="F66" s="14" t="s">
        <v>252</v>
      </c>
      <c r="G66" s="14" t="s">
        <v>253</v>
      </c>
      <c r="H66" s="15">
        <f>IFERROR(VLOOKUP(B66,Orders!$A:$I,6,0),"")</f>
        <v>352.5</v>
      </c>
      <c r="I66" s="14" t="str">
        <f>IFERROR(VLOOKUP(B66,Orders!$A:$I,8,0),"")</f>
        <v>FOB Destination</v>
      </c>
      <c r="J66" s="16">
        <f t="shared" ref="J66:J69" si="3">IF(I66="","",IF(I66="FOB Shipping Point",C66,D66))</f>
        <v>45993</v>
      </c>
      <c r="K66" s="15">
        <f t="shared" ref="K66:K129" si="4">IF(H66="",0,E66*H66)</f>
        <v>403612.5</v>
      </c>
      <c r="L66" s="14" t="str">
        <f>IF(H66="","Excluded - no order",IF(J66&lt;Assumptions!$B$3,"Pre-Q4",IF(J66&lt;=Assumptions!$B$4,"Q4 2025","Deferred Q1 2026")))</f>
        <v>Q4 2025</v>
      </c>
    </row>
    <row r="67" spans="1:12" ht="15" customHeight="1" x14ac:dyDescent="0.2">
      <c r="A67" s="14" t="s">
        <v>254</v>
      </c>
      <c r="B67" s="14" t="s">
        <v>255</v>
      </c>
      <c r="C67" s="18">
        <v>46014</v>
      </c>
      <c r="D67" s="18">
        <v>46020</v>
      </c>
      <c r="E67" s="14">
        <v>1774</v>
      </c>
      <c r="F67" s="14" t="s">
        <v>256</v>
      </c>
      <c r="G67" s="14" t="s">
        <v>257</v>
      </c>
      <c r="H67" s="15">
        <f>IFERROR(VLOOKUP(B67,Orders!$A:$I,6,0),"")</f>
        <v>154.43</v>
      </c>
      <c r="I67" s="14" t="str">
        <f>IFERROR(VLOOKUP(B67,Orders!$A:$I,8,0),"")</f>
        <v>FOB Destination</v>
      </c>
      <c r="J67" s="16">
        <f t="shared" si="3"/>
        <v>46020</v>
      </c>
      <c r="K67" s="15">
        <f t="shared" si="4"/>
        <v>273958.82</v>
      </c>
      <c r="L67" s="14" t="str">
        <f>IF(H67="","Excluded - no order",IF(J67&lt;Assumptions!$B$3,"Pre-Q4",IF(J67&lt;=Assumptions!$B$4,"Q4 2025","Deferred Q1 2026")))</f>
        <v>Q4 2025</v>
      </c>
    </row>
    <row r="68" spans="1:12" ht="15" customHeight="1" x14ac:dyDescent="0.2">
      <c r="A68" s="14" t="s">
        <v>258</v>
      </c>
      <c r="B68" s="14" t="s">
        <v>259</v>
      </c>
      <c r="C68" s="18">
        <v>46019</v>
      </c>
      <c r="D68" s="18">
        <v>46022</v>
      </c>
      <c r="E68" s="14">
        <v>688</v>
      </c>
      <c r="F68" s="14" t="s">
        <v>149</v>
      </c>
      <c r="G68" s="14" t="s">
        <v>150</v>
      </c>
      <c r="H68" s="15">
        <f>IFERROR(VLOOKUP(B68,Orders!$A:$I,6,0),"")</f>
        <v>236.02</v>
      </c>
      <c r="I68" s="14" t="str">
        <f>IFERROR(VLOOKUP(B68,Orders!$A:$I,8,0),"")</f>
        <v>FOB Destination</v>
      </c>
      <c r="J68" s="16">
        <f t="shared" si="3"/>
        <v>46022</v>
      </c>
      <c r="K68" s="15">
        <f t="shared" si="4"/>
        <v>162381.76000000001</v>
      </c>
      <c r="L68" s="14" t="str">
        <f>IF(H68="","Excluded - no order",IF(J68&lt;Assumptions!$B$3,"Pre-Q4",IF(J68&lt;=Assumptions!$B$4,"Q4 2025","Deferred Q1 2026")))</f>
        <v>Q4 2025</v>
      </c>
    </row>
    <row r="69" spans="1:12" ht="15" customHeight="1" x14ac:dyDescent="0.2">
      <c r="A69" s="14" t="s">
        <v>260</v>
      </c>
      <c r="B69" s="14" t="s">
        <v>261</v>
      </c>
      <c r="C69" s="18">
        <v>45998</v>
      </c>
      <c r="D69" s="18">
        <v>46002</v>
      </c>
      <c r="E69" s="14">
        <v>424</v>
      </c>
      <c r="F69" s="14" t="s">
        <v>262</v>
      </c>
      <c r="G69" s="14" t="s">
        <v>263</v>
      </c>
      <c r="H69" s="15">
        <f>IFERROR(VLOOKUP(B69,Orders!$A:$I,6,0),"")</f>
        <v>328.67</v>
      </c>
      <c r="I69" s="14" t="str">
        <f>IFERROR(VLOOKUP(B69,Orders!$A:$I,8,0),"")</f>
        <v>FOB Destination</v>
      </c>
      <c r="J69" s="16">
        <f t="shared" si="3"/>
        <v>46002</v>
      </c>
      <c r="K69" s="15">
        <f t="shared" si="4"/>
        <v>139356.08000000002</v>
      </c>
      <c r="L69" s="14" t="str">
        <f>IF(H69="","Excluded - no order",IF(J69&lt;Assumptions!$B$3,"Pre-Q4",IF(J69&lt;=Assumptions!$B$4,"Q4 2025","Deferred Q1 2026")))</f>
        <v>Q4 2025</v>
      </c>
    </row>
    <row r="70" spans="1:12" ht="15" customHeight="1" x14ac:dyDescent="0.2">
      <c r="A70" s="14" t="s">
        <v>264</v>
      </c>
      <c r="B70" s="14" t="s">
        <v>265</v>
      </c>
      <c r="C70" s="18">
        <v>46020</v>
      </c>
      <c r="D70" s="18">
        <v>46022</v>
      </c>
      <c r="E70" s="14">
        <v>870</v>
      </c>
      <c r="F70" s="14" t="s">
        <v>73</v>
      </c>
      <c r="G70" s="14" t="s">
        <v>74</v>
      </c>
      <c r="H70" s="15">
        <f>IFERROR(VLOOKUP(B70,Orders!$A:$I,6,0),"")</f>
        <v>40.39</v>
      </c>
      <c r="I70" s="14" t="str">
        <f>IFERROR(VLOOKUP(B70,Orders!$A:$I,8,0),"")</f>
        <v>FOB Destination</v>
      </c>
      <c r="J70" s="16">
        <v>46024</v>
      </c>
      <c r="K70" s="15">
        <f t="shared" si="4"/>
        <v>35139.300000000003</v>
      </c>
      <c r="L70" s="14" t="str">
        <f>IF(H70="","Excluded - no order",IF(J70&lt;Assumptions!$B$3,"Pre-Q4",IF(J70&lt;=Assumptions!$B$4,"Q4 2025","Deferred Q1 2026")))</f>
        <v>Deferred Q1 2026</v>
      </c>
    </row>
    <row r="71" spans="1:12" ht="15" customHeight="1" x14ac:dyDescent="0.2">
      <c r="A71" s="14" t="s">
        <v>266</v>
      </c>
      <c r="B71" s="14" t="s">
        <v>267</v>
      </c>
      <c r="C71" s="18">
        <v>45984</v>
      </c>
      <c r="D71" s="18">
        <v>45990</v>
      </c>
      <c r="E71" s="14">
        <v>1771</v>
      </c>
      <c r="F71" s="14" t="s">
        <v>100</v>
      </c>
      <c r="G71" s="14" t="s">
        <v>101</v>
      </c>
      <c r="H71" s="15">
        <f>IFERROR(VLOOKUP(B71,Orders!$A:$I,6,0),"")</f>
        <v>304.49</v>
      </c>
      <c r="I71" s="14" t="str">
        <f>IFERROR(VLOOKUP(B71,Orders!$A:$I,8,0),"")</f>
        <v>FOB Shipping Point</v>
      </c>
      <c r="J71" s="16">
        <f t="shared" ref="J71:J134" si="5">IF(I71="","",IF(I71="FOB Shipping Point",C71,D71))</f>
        <v>45984</v>
      </c>
      <c r="K71" s="15">
        <f t="shared" si="4"/>
        <v>539251.79</v>
      </c>
      <c r="L71" s="14" t="str">
        <f>IF(H71="","Excluded - no order",IF(J71&lt;Assumptions!$B$3,"Pre-Q4",IF(J71&lt;=Assumptions!$B$4,"Q4 2025","Deferred Q1 2026")))</f>
        <v>Q4 2025</v>
      </c>
    </row>
    <row r="72" spans="1:12" ht="15" customHeight="1" x14ac:dyDescent="0.2">
      <c r="A72" s="14" t="s">
        <v>268</v>
      </c>
      <c r="B72" s="14" t="s">
        <v>269</v>
      </c>
      <c r="C72" s="18">
        <v>46008</v>
      </c>
      <c r="D72" s="18">
        <v>46009</v>
      </c>
      <c r="E72" s="14">
        <v>1780</v>
      </c>
      <c r="F72" s="14" t="s">
        <v>270</v>
      </c>
      <c r="G72" s="14" t="s">
        <v>271</v>
      </c>
      <c r="H72" s="15">
        <f>IFERROR(VLOOKUP(B72,Orders!$A:$I,6,0),"")</f>
        <v>91.83</v>
      </c>
      <c r="I72" s="14" t="str">
        <f>IFERROR(VLOOKUP(B72,Orders!$A:$I,8,0),"")</f>
        <v>FOB Destination</v>
      </c>
      <c r="J72" s="16">
        <f t="shared" si="5"/>
        <v>46009</v>
      </c>
      <c r="K72" s="15">
        <f t="shared" si="4"/>
        <v>163457.4</v>
      </c>
      <c r="L72" s="14" t="str">
        <f>IF(H72="","Excluded - no order",IF(J72&lt;Assumptions!$B$3,"Pre-Q4",IF(J72&lt;=Assumptions!$B$4,"Q4 2025","Deferred Q1 2026")))</f>
        <v>Q4 2025</v>
      </c>
    </row>
    <row r="73" spans="1:12" ht="15" customHeight="1" x14ac:dyDescent="0.2">
      <c r="A73" s="14" t="s">
        <v>272</v>
      </c>
      <c r="B73" s="14" t="s">
        <v>273</v>
      </c>
      <c r="C73" s="18">
        <v>45944</v>
      </c>
      <c r="D73" s="18">
        <v>45945</v>
      </c>
      <c r="E73" s="14">
        <v>1456</v>
      </c>
      <c r="F73" s="14" t="s">
        <v>112</v>
      </c>
      <c r="G73" s="14" t="s">
        <v>113</v>
      </c>
      <c r="H73" s="15">
        <f>IFERROR(VLOOKUP(B73,Orders!$A:$I,6,0),"")</f>
        <v>234.05</v>
      </c>
      <c r="I73" s="14" t="str">
        <f>IFERROR(VLOOKUP(B73,Orders!$A:$I,8,0),"")</f>
        <v>FOB Destination</v>
      </c>
      <c r="J73" s="16">
        <f t="shared" si="5"/>
        <v>45945</v>
      </c>
      <c r="K73" s="15">
        <f t="shared" si="4"/>
        <v>340776.8</v>
      </c>
      <c r="L73" s="14" t="str">
        <f>IF(H73="","Excluded - no order",IF(J73&lt;Assumptions!$B$3,"Pre-Q4",IF(J73&lt;=Assumptions!$B$4,"Q4 2025","Deferred Q1 2026")))</f>
        <v>Q4 2025</v>
      </c>
    </row>
    <row r="74" spans="1:12" ht="15" customHeight="1" x14ac:dyDescent="0.2">
      <c r="A74" s="14" t="s">
        <v>274</v>
      </c>
      <c r="B74" s="14" t="s">
        <v>273</v>
      </c>
      <c r="C74" s="18">
        <v>45946</v>
      </c>
      <c r="D74" s="18">
        <v>45947</v>
      </c>
      <c r="E74" s="14">
        <v>399</v>
      </c>
      <c r="F74" s="14" t="s">
        <v>118</v>
      </c>
      <c r="G74" s="14" t="s">
        <v>119</v>
      </c>
      <c r="H74" s="15">
        <f>IFERROR(VLOOKUP(B74,Orders!$A:$I,6,0),"")</f>
        <v>234.05</v>
      </c>
      <c r="I74" s="14" t="str">
        <f>IFERROR(VLOOKUP(B74,Orders!$A:$I,8,0),"")</f>
        <v>FOB Destination</v>
      </c>
      <c r="J74" s="16">
        <f t="shared" si="5"/>
        <v>45947</v>
      </c>
      <c r="K74" s="15">
        <f t="shared" si="4"/>
        <v>93385.950000000012</v>
      </c>
      <c r="L74" s="14" t="str">
        <f>IF(H74="","Excluded - no order",IF(J74&lt;Assumptions!$B$3,"Pre-Q4",IF(J74&lt;=Assumptions!$B$4,"Q4 2025","Deferred Q1 2026")))</f>
        <v>Q4 2025</v>
      </c>
    </row>
    <row r="75" spans="1:12" ht="15" customHeight="1" x14ac:dyDescent="0.2">
      <c r="A75" s="14" t="s">
        <v>275</v>
      </c>
      <c r="B75" s="14" t="s">
        <v>276</v>
      </c>
      <c r="C75" s="18">
        <v>45969</v>
      </c>
      <c r="D75" s="18">
        <v>45971</v>
      </c>
      <c r="E75" s="14">
        <v>814</v>
      </c>
      <c r="F75" s="14" t="s">
        <v>277</v>
      </c>
      <c r="G75" s="14" t="s">
        <v>278</v>
      </c>
      <c r="H75" s="15">
        <f>IFERROR(VLOOKUP(B75,Orders!$A:$I,6,0),"")</f>
        <v>287.82</v>
      </c>
      <c r="I75" s="14" t="str">
        <f>IFERROR(VLOOKUP(B75,Orders!$A:$I,8,0),"")</f>
        <v>FOB Shipping Point</v>
      </c>
      <c r="J75" s="16">
        <f t="shared" si="5"/>
        <v>45969</v>
      </c>
      <c r="K75" s="15">
        <f t="shared" si="4"/>
        <v>234285.47999999998</v>
      </c>
      <c r="L75" s="14" t="str">
        <f>IF(H75="","Excluded - no order",IF(J75&lt;Assumptions!$B$3,"Pre-Q4",IF(J75&lt;=Assumptions!$B$4,"Q4 2025","Deferred Q1 2026")))</f>
        <v>Q4 2025</v>
      </c>
    </row>
    <row r="76" spans="1:12" ht="15" customHeight="1" x14ac:dyDescent="0.2">
      <c r="A76" s="14" t="s">
        <v>279</v>
      </c>
      <c r="B76" s="14" t="s">
        <v>280</v>
      </c>
      <c r="C76" s="18">
        <v>46015</v>
      </c>
      <c r="D76" s="18">
        <v>46019</v>
      </c>
      <c r="E76" s="14">
        <v>552</v>
      </c>
      <c r="F76" s="14" t="s">
        <v>77</v>
      </c>
      <c r="G76" s="14" t="s">
        <v>78</v>
      </c>
      <c r="H76" s="15">
        <f>IFERROR(VLOOKUP(B76,Orders!$A:$I,6,0),"")</f>
        <v>143.46</v>
      </c>
      <c r="I76" s="14" t="str">
        <f>IFERROR(VLOOKUP(B76,Orders!$A:$I,8,0),"")</f>
        <v>FOB Destination</v>
      </c>
      <c r="J76" s="16">
        <f t="shared" si="5"/>
        <v>46019</v>
      </c>
      <c r="K76" s="15">
        <f t="shared" si="4"/>
        <v>79189.919999999998</v>
      </c>
      <c r="L76" s="14" t="str">
        <f>IF(H76="","Excluded - no order",IF(J76&lt;Assumptions!$B$3,"Pre-Q4",IF(J76&lt;=Assumptions!$B$4,"Q4 2025","Deferred Q1 2026")))</f>
        <v>Q4 2025</v>
      </c>
    </row>
    <row r="77" spans="1:12" ht="15" customHeight="1" x14ac:dyDescent="0.2">
      <c r="A77" s="14" t="s">
        <v>281</v>
      </c>
      <c r="B77" s="14" t="s">
        <v>280</v>
      </c>
      <c r="C77" s="18">
        <v>46017</v>
      </c>
      <c r="D77" s="18">
        <v>46021</v>
      </c>
      <c r="E77" s="14">
        <v>473</v>
      </c>
      <c r="F77" s="14" t="s">
        <v>77</v>
      </c>
      <c r="G77" s="14" t="s">
        <v>78</v>
      </c>
      <c r="H77" s="15">
        <f>IFERROR(VLOOKUP(B77,Orders!$A:$I,6,0),"")</f>
        <v>143.46</v>
      </c>
      <c r="I77" s="14" t="str">
        <f>IFERROR(VLOOKUP(B77,Orders!$A:$I,8,0),"")</f>
        <v>FOB Destination</v>
      </c>
      <c r="J77" s="16">
        <f t="shared" si="5"/>
        <v>46021</v>
      </c>
      <c r="K77" s="15">
        <f t="shared" si="4"/>
        <v>67856.58</v>
      </c>
      <c r="L77" s="14" t="str">
        <f>IF(H77="","Excluded - no order",IF(J77&lt;Assumptions!$B$3,"Pre-Q4",IF(J77&lt;=Assumptions!$B$4,"Q4 2025","Deferred Q1 2026")))</f>
        <v>Q4 2025</v>
      </c>
    </row>
    <row r="78" spans="1:12" ht="15" customHeight="1" x14ac:dyDescent="0.2">
      <c r="A78" s="14" t="s">
        <v>282</v>
      </c>
      <c r="B78" s="14" t="s">
        <v>283</v>
      </c>
      <c r="C78" s="18">
        <v>45972</v>
      </c>
      <c r="D78" s="18">
        <v>45977</v>
      </c>
      <c r="E78" s="14">
        <v>1614</v>
      </c>
      <c r="F78" s="14" t="s">
        <v>284</v>
      </c>
      <c r="G78" s="14" t="s">
        <v>285</v>
      </c>
      <c r="H78" s="15">
        <f>IFERROR(VLOOKUP(B78,Orders!$A:$I,6,0),"")</f>
        <v>484.68</v>
      </c>
      <c r="I78" s="14" t="str">
        <f>IFERROR(VLOOKUP(B78,Orders!$A:$I,8,0),"")</f>
        <v>FOB Destination</v>
      </c>
      <c r="J78" s="16">
        <f t="shared" si="5"/>
        <v>45977</v>
      </c>
      <c r="K78" s="15">
        <f t="shared" si="4"/>
        <v>782273.52</v>
      </c>
      <c r="L78" s="14" t="str">
        <f>IF(H78="","Excluded - no order",IF(J78&lt;Assumptions!$B$3,"Pre-Q4",IF(J78&lt;=Assumptions!$B$4,"Q4 2025","Deferred Q1 2026")))</f>
        <v>Q4 2025</v>
      </c>
    </row>
    <row r="79" spans="1:12" ht="15" customHeight="1" x14ac:dyDescent="0.2">
      <c r="A79" s="14" t="s">
        <v>286</v>
      </c>
      <c r="B79" s="14" t="s">
        <v>287</v>
      </c>
      <c r="C79" s="18">
        <v>45967</v>
      </c>
      <c r="D79" s="18">
        <v>45969</v>
      </c>
      <c r="E79" s="14">
        <v>873</v>
      </c>
      <c r="F79" s="14" t="s">
        <v>288</v>
      </c>
      <c r="G79" s="14" t="s">
        <v>289</v>
      </c>
      <c r="H79" s="15">
        <f>IFERROR(VLOOKUP(B79,Orders!$A:$I,6,0),"")</f>
        <v>141.43</v>
      </c>
      <c r="I79" s="14" t="str">
        <f>IFERROR(VLOOKUP(B79,Orders!$A:$I,8,0),"")</f>
        <v>FOB Destination</v>
      </c>
      <c r="J79" s="16">
        <f t="shared" si="5"/>
        <v>45969</v>
      </c>
      <c r="K79" s="15">
        <f t="shared" si="4"/>
        <v>123468.39</v>
      </c>
      <c r="L79" s="14" t="str">
        <f>IF(H79="","Excluded - no order",IF(J79&lt;Assumptions!$B$3,"Pre-Q4",IF(J79&lt;=Assumptions!$B$4,"Q4 2025","Deferred Q1 2026")))</f>
        <v>Q4 2025</v>
      </c>
    </row>
    <row r="80" spans="1:12" ht="15" customHeight="1" x14ac:dyDescent="0.2">
      <c r="A80" s="14" t="s">
        <v>290</v>
      </c>
      <c r="B80" s="14" t="s">
        <v>291</v>
      </c>
      <c r="C80" s="18">
        <v>45982</v>
      </c>
      <c r="D80" s="18">
        <v>45985</v>
      </c>
      <c r="E80" s="14">
        <v>125</v>
      </c>
      <c r="F80" s="14" t="s">
        <v>292</v>
      </c>
      <c r="G80" s="14" t="s">
        <v>293</v>
      </c>
      <c r="H80" s="15">
        <f>IFERROR(VLOOKUP(B80,Orders!$A:$I,6,0),"")</f>
        <v>201.7</v>
      </c>
      <c r="I80" s="14" t="str">
        <f>IFERROR(VLOOKUP(B80,Orders!$A:$I,8,0),"")</f>
        <v>FOB Shipping Point</v>
      </c>
      <c r="J80" s="16">
        <f t="shared" si="5"/>
        <v>45982</v>
      </c>
      <c r="K80" s="15">
        <f t="shared" si="4"/>
        <v>25212.5</v>
      </c>
      <c r="L80" s="14" t="str">
        <f>IF(H80="","Excluded - no order",IF(J80&lt;Assumptions!$B$3,"Pre-Q4",IF(J80&lt;=Assumptions!$B$4,"Q4 2025","Deferred Q1 2026")))</f>
        <v>Q4 2025</v>
      </c>
    </row>
    <row r="81" spans="1:12" ht="15" customHeight="1" x14ac:dyDescent="0.2">
      <c r="A81" s="14" t="s">
        <v>294</v>
      </c>
      <c r="B81" s="14" t="s">
        <v>295</v>
      </c>
      <c r="C81" s="18">
        <v>46000</v>
      </c>
      <c r="D81" s="18">
        <v>46002</v>
      </c>
      <c r="E81" s="14">
        <v>931</v>
      </c>
      <c r="F81" s="14" t="s">
        <v>122</v>
      </c>
      <c r="G81" s="14" t="s">
        <v>123</v>
      </c>
      <c r="H81" s="15">
        <f>IFERROR(VLOOKUP(B81,Orders!$A:$I,6,0),"")</f>
        <v>205.53</v>
      </c>
      <c r="I81" s="14" t="str">
        <f>IFERROR(VLOOKUP(B81,Orders!$A:$I,8,0),"")</f>
        <v>FOB Destination</v>
      </c>
      <c r="J81" s="16">
        <f t="shared" si="5"/>
        <v>46002</v>
      </c>
      <c r="K81" s="15">
        <f t="shared" si="4"/>
        <v>191348.43</v>
      </c>
      <c r="L81" s="14" t="str">
        <f>IF(H81="","Excluded - no order",IF(J81&lt;Assumptions!$B$3,"Pre-Q4",IF(J81&lt;=Assumptions!$B$4,"Q4 2025","Deferred Q1 2026")))</f>
        <v>Q4 2025</v>
      </c>
    </row>
    <row r="82" spans="1:12" ht="15" customHeight="1" x14ac:dyDescent="0.2">
      <c r="A82" s="14" t="s">
        <v>296</v>
      </c>
      <c r="B82" s="14" t="s">
        <v>295</v>
      </c>
      <c r="C82" s="18">
        <v>46002</v>
      </c>
      <c r="D82" s="18">
        <v>46004</v>
      </c>
      <c r="E82" s="14">
        <v>613</v>
      </c>
      <c r="F82" s="14" t="s">
        <v>149</v>
      </c>
      <c r="G82" s="14" t="s">
        <v>150</v>
      </c>
      <c r="H82" s="15">
        <f>IFERROR(VLOOKUP(B82,Orders!$A:$I,6,0),"")</f>
        <v>205.53</v>
      </c>
      <c r="I82" s="14" t="str">
        <f>IFERROR(VLOOKUP(B82,Orders!$A:$I,8,0),"")</f>
        <v>FOB Destination</v>
      </c>
      <c r="J82" s="16">
        <f t="shared" si="5"/>
        <v>46004</v>
      </c>
      <c r="K82" s="15">
        <f t="shared" si="4"/>
        <v>125989.89</v>
      </c>
      <c r="L82" s="14" t="str">
        <f>IF(H82="","Excluded - no order",IF(J82&lt;Assumptions!$B$3,"Pre-Q4",IF(J82&lt;=Assumptions!$B$4,"Q4 2025","Deferred Q1 2026")))</f>
        <v>Q4 2025</v>
      </c>
    </row>
    <row r="83" spans="1:12" ht="15" customHeight="1" x14ac:dyDescent="0.2">
      <c r="A83" s="14" t="s">
        <v>297</v>
      </c>
      <c r="B83" s="14" t="s">
        <v>298</v>
      </c>
      <c r="C83" s="18">
        <v>45986</v>
      </c>
      <c r="D83" s="18">
        <v>45987</v>
      </c>
      <c r="E83" s="14">
        <v>363</v>
      </c>
      <c r="F83" s="14" t="s">
        <v>73</v>
      </c>
      <c r="G83" s="14" t="s">
        <v>74</v>
      </c>
      <c r="H83" s="15">
        <f>IFERROR(VLOOKUP(B83,Orders!$A:$I,6,0),"")</f>
        <v>221.29</v>
      </c>
      <c r="I83" s="14" t="str">
        <f>IFERROR(VLOOKUP(B83,Orders!$A:$I,8,0),"")</f>
        <v>FOB Destination</v>
      </c>
      <c r="J83" s="16">
        <f t="shared" si="5"/>
        <v>45987</v>
      </c>
      <c r="K83" s="15">
        <f t="shared" si="4"/>
        <v>80328.27</v>
      </c>
      <c r="L83" s="14" t="str">
        <f>IF(H83="","Excluded - no order",IF(J83&lt;Assumptions!$B$3,"Pre-Q4",IF(J83&lt;=Assumptions!$B$4,"Q4 2025","Deferred Q1 2026")))</f>
        <v>Q4 2025</v>
      </c>
    </row>
    <row r="84" spans="1:12" ht="15" customHeight="1" x14ac:dyDescent="0.2">
      <c r="A84" s="14" t="s">
        <v>299</v>
      </c>
      <c r="B84" s="14" t="s">
        <v>298</v>
      </c>
      <c r="C84" s="18">
        <v>45988</v>
      </c>
      <c r="D84" s="18">
        <v>45989</v>
      </c>
      <c r="E84" s="14">
        <v>215</v>
      </c>
      <c r="F84" s="14" t="s">
        <v>100</v>
      </c>
      <c r="G84" s="14" t="s">
        <v>101</v>
      </c>
      <c r="H84" s="15">
        <f>IFERROR(VLOOKUP(B84,Orders!$A:$I,6,0),"")</f>
        <v>221.29</v>
      </c>
      <c r="I84" s="14" t="str">
        <f>IFERROR(VLOOKUP(B84,Orders!$A:$I,8,0),"")</f>
        <v>FOB Destination</v>
      </c>
      <c r="J84" s="16">
        <f t="shared" si="5"/>
        <v>45989</v>
      </c>
      <c r="K84" s="15">
        <f t="shared" si="4"/>
        <v>47577.35</v>
      </c>
      <c r="L84" s="14" t="str">
        <f>IF(H84="","Excluded - no order",IF(J84&lt;Assumptions!$B$3,"Pre-Q4",IF(J84&lt;=Assumptions!$B$4,"Q4 2025","Deferred Q1 2026")))</f>
        <v>Q4 2025</v>
      </c>
    </row>
    <row r="85" spans="1:12" ht="15" customHeight="1" x14ac:dyDescent="0.2">
      <c r="A85" s="14" t="s">
        <v>300</v>
      </c>
      <c r="B85" s="14" t="s">
        <v>301</v>
      </c>
      <c r="C85" s="18">
        <v>45981</v>
      </c>
      <c r="D85" s="18">
        <v>45984</v>
      </c>
      <c r="E85" s="14">
        <v>410</v>
      </c>
      <c r="F85" s="14" t="s">
        <v>302</v>
      </c>
      <c r="G85" s="14" t="s">
        <v>303</v>
      </c>
      <c r="H85" s="15">
        <f>IFERROR(VLOOKUP(B85,Orders!$A:$I,6,0),"")</f>
        <v>19.61</v>
      </c>
      <c r="I85" s="14" t="str">
        <f>IFERROR(VLOOKUP(B85,Orders!$A:$I,8,0),"")</f>
        <v>FOB Shipping Point</v>
      </c>
      <c r="J85" s="16">
        <f t="shared" si="5"/>
        <v>45981</v>
      </c>
      <c r="K85" s="15">
        <f t="shared" si="4"/>
        <v>8040.0999999999995</v>
      </c>
      <c r="L85" s="14" t="str">
        <f>IF(H85="","Excluded - no order",IF(J85&lt;Assumptions!$B$3,"Pre-Q4",IF(J85&lt;=Assumptions!$B$4,"Q4 2025","Deferred Q1 2026")))</f>
        <v>Q4 2025</v>
      </c>
    </row>
    <row r="86" spans="1:12" ht="15" customHeight="1" x14ac:dyDescent="0.2">
      <c r="A86" s="14" t="s">
        <v>304</v>
      </c>
      <c r="B86" s="14" t="s">
        <v>305</v>
      </c>
      <c r="C86" s="18">
        <v>45961</v>
      </c>
      <c r="D86" s="18">
        <v>45962</v>
      </c>
      <c r="E86" s="14">
        <v>420</v>
      </c>
      <c r="F86" s="14" t="s">
        <v>306</v>
      </c>
      <c r="G86" s="14" t="s">
        <v>307</v>
      </c>
      <c r="H86" s="15">
        <f>IFERROR(VLOOKUP(B86,Orders!$A:$I,6,0),"")</f>
        <v>261.33999999999997</v>
      </c>
      <c r="I86" s="14" t="str">
        <f>IFERROR(VLOOKUP(B86,Orders!$A:$I,8,0),"")</f>
        <v>FOB Shipping Point</v>
      </c>
      <c r="J86" s="16">
        <f t="shared" si="5"/>
        <v>45961</v>
      </c>
      <c r="K86" s="15">
        <f t="shared" si="4"/>
        <v>109762.79999999999</v>
      </c>
      <c r="L86" s="14" t="str">
        <f>IF(H86="","Excluded - no order",IF(J86&lt;Assumptions!$B$3,"Pre-Q4",IF(J86&lt;=Assumptions!$B$4,"Q4 2025","Deferred Q1 2026")))</f>
        <v>Q4 2025</v>
      </c>
    </row>
    <row r="87" spans="1:12" ht="15" customHeight="1" x14ac:dyDescent="0.2">
      <c r="A87" s="14" t="s">
        <v>308</v>
      </c>
      <c r="B87" s="14" t="s">
        <v>305</v>
      </c>
      <c r="C87" s="18">
        <v>45963</v>
      </c>
      <c r="D87" s="18">
        <v>45964</v>
      </c>
      <c r="E87" s="14">
        <v>332</v>
      </c>
      <c r="F87" s="14" t="s">
        <v>309</v>
      </c>
      <c r="G87" s="14" t="s">
        <v>310</v>
      </c>
      <c r="H87" s="15">
        <f>IFERROR(VLOOKUP(B87,Orders!$A:$I,6,0),"")</f>
        <v>261.33999999999997</v>
      </c>
      <c r="I87" s="14" t="str">
        <f>IFERROR(VLOOKUP(B87,Orders!$A:$I,8,0),"")</f>
        <v>FOB Shipping Point</v>
      </c>
      <c r="J87" s="16">
        <f t="shared" si="5"/>
        <v>45963</v>
      </c>
      <c r="K87" s="15">
        <f t="shared" si="4"/>
        <v>86764.87999999999</v>
      </c>
      <c r="L87" s="14" t="str">
        <f>IF(H87="","Excluded - no order",IF(J87&lt;Assumptions!$B$3,"Pre-Q4",IF(J87&lt;=Assumptions!$B$4,"Q4 2025","Deferred Q1 2026")))</f>
        <v>Q4 2025</v>
      </c>
    </row>
    <row r="88" spans="1:12" ht="15" customHeight="1" x14ac:dyDescent="0.2">
      <c r="A88" s="14" t="s">
        <v>311</v>
      </c>
      <c r="B88" s="14" t="s">
        <v>312</v>
      </c>
      <c r="C88" s="18">
        <v>45948</v>
      </c>
      <c r="D88" s="18">
        <v>45951</v>
      </c>
      <c r="E88" s="14">
        <v>1767</v>
      </c>
      <c r="F88" s="14" t="s">
        <v>100</v>
      </c>
      <c r="G88" s="14" t="s">
        <v>101</v>
      </c>
      <c r="H88" s="15">
        <f>IFERROR(VLOOKUP(B88,Orders!$A:$I,6,0),"")</f>
        <v>426.11</v>
      </c>
      <c r="I88" s="14" t="str">
        <f>IFERROR(VLOOKUP(B88,Orders!$A:$I,8,0),"")</f>
        <v>FOB Shipping Point</v>
      </c>
      <c r="J88" s="16">
        <f t="shared" si="5"/>
        <v>45948</v>
      </c>
      <c r="K88" s="15">
        <f t="shared" si="4"/>
        <v>752936.37</v>
      </c>
      <c r="L88" s="14" t="str">
        <f>IF(H88="","Excluded - no order",IF(J88&lt;Assumptions!$B$3,"Pre-Q4",IF(J88&lt;=Assumptions!$B$4,"Q4 2025","Deferred Q1 2026")))</f>
        <v>Q4 2025</v>
      </c>
    </row>
    <row r="89" spans="1:12" ht="15" customHeight="1" x14ac:dyDescent="0.2">
      <c r="A89" s="14" t="s">
        <v>313</v>
      </c>
      <c r="B89" s="14" t="s">
        <v>314</v>
      </c>
      <c r="C89" s="18">
        <v>45972</v>
      </c>
      <c r="D89" s="18">
        <v>45976</v>
      </c>
      <c r="E89" s="14">
        <v>1265</v>
      </c>
      <c r="F89" s="14" t="s">
        <v>77</v>
      </c>
      <c r="G89" s="14" t="s">
        <v>78</v>
      </c>
      <c r="H89" s="15">
        <f>IFERROR(VLOOKUP(B89,Orders!$A:$I,6,0),"")</f>
        <v>236.48</v>
      </c>
      <c r="I89" s="14" t="str">
        <f>IFERROR(VLOOKUP(B89,Orders!$A:$I,8,0),"")</f>
        <v>FOB Destination</v>
      </c>
      <c r="J89" s="16">
        <f t="shared" si="5"/>
        <v>45976</v>
      </c>
      <c r="K89" s="15">
        <f t="shared" si="4"/>
        <v>299147.2</v>
      </c>
      <c r="L89" s="14" t="str">
        <f>IF(H89="","Excluded - no order",IF(J89&lt;Assumptions!$B$3,"Pre-Q4",IF(J89&lt;=Assumptions!$B$4,"Q4 2025","Deferred Q1 2026")))</f>
        <v>Q4 2025</v>
      </c>
    </row>
    <row r="90" spans="1:12" ht="15" customHeight="1" x14ac:dyDescent="0.2">
      <c r="A90" s="14" t="s">
        <v>315</v>
      </c>
      <c r="B90" s="14" t="s">
        <v>316</v>
      </c>
      <c r="C90" s="18">
        <v>45982</v>
      </c>
      <c r="D90" s="18">
        <v>45987</v>
      </c>
      <c r="E90" s="14">
        <v>405</v>
      </c>
      <c r="F90" s="14" t="s">
        <v>122</v>
      </c>
      <c r="G90" s="14" t="s">
        <v>123</v>
      </c>
      <c r="H90" s="15">
        <f>IFERROR(VLOOKUP(B90,Orders!$A:$I,6,0),"")</f>
        <v>115.61</v>
      </c>
      <c r="I90" s="14" t="str">
        <f>IFERROR(VLOOKUP(B90,Orders!$A:$I,8,0),"")</f>
        <v>FOB Destination</v>
      </c>
      <c r="J90" s="16">
        <f t="shared" si="5"/>
        <v>45987</v>
      </c>
      <c r="K90" s="15">
        <f t="shared" si="4"/>
        <v>46822.05</v>
      </c>
      <c r="L90" s="14" t="str">
        <f>IF(H90="","Excluded - no order",IF(J90&lt;Assumptions!$B$3,"Pre-Q4",IF(J90&lt;=Assumptions!$B$4,"Q4 2025","Deferred Q1 2026")))</f>
        <v>Q4 2025</v>
      </c>
    </row>
    <row r="91" spans="1:12" ht="15" customHeight="1" x14ac:dyDescent="0.2">
      <c r="A91" s="14" t="s">
        <v>317</v>
      </c>
      <c r="B91" s="14" t="s">
        <v>318</v>
      </c>
      <c r="C91" s="18">
        <v>45968</v>
      </c>
      <c r="D91" s="18">
        <v>45974</v>
      </c>
      <c r="E91" s="14">
        <v>40</v>
      </c>
      <c r="F91" s="14" t="s">
        <v>319</v>
      </c>
      <c r="G91" s="14" t="s">
        <v>320</v>
      </c>
      <c r="H91" s="15">
        <f>IFERROR(VLOOKUP(B91,Orders!$A:$I,6,0),"")</f>
        <v>455.17</v>
      </c>
      <c r="I91" s="14" t="str">
        <f>IFERROR(VLOOKUP(B91,Orders!$A:$I,8,0),"")</f>
        <v>FOB Shipping Point</v>
      </c>
      <c r="J91" s="16">
        <f t="shared" si="5"/>
        <v>45968</v>
      </c>
      <c r="K91" s="15">
        <f t="shared" si="4"/>
        <v>18206.8</v>
      </c>
      <c r="L91" s="14" t="str">
        <f>IF(H91="","Excluded - no order",IF(J91&lt;Assumptions!$B$3,"Pre-Q4",IF(J91&lt;=Assumptions!$B$4,"Q4 2025","Deferred Q1 2026")))</f>
        <v>Q4 2025</v>
      </c>
    </row>
    <row r="92" spans="1:12" ht="15" customHeight="1" x14ac:dyDescent="0.2">
      <c r="A92" s="14" t="s">
        <v>321</v>
      </c>
      <c r="B92" s="14" t="s">
        <v>322</v>
      </c>
      <c r="C92" s="18">
        <v>45975</v>
      </c>
      <c r="D92" s="18">
        <v>45977</v>
      </c>
      <c r="E92" s="14">
        <v>677</v>
      </c>
      <c r="F92" s="14" t="s">
        <v>323</v>
      </c>
      <c r="G92" s="14" t="s">
        <v>324</v>
      </c>
      <c r="H92" s="15">
        <f>IFERROR(VLOOKUP(B92,Orders!$A:$I,6,0),"")</f>
        <v>286.23</v>
      </c>
      <c r="I92" s="14" t="str">
        <f>IFERROR(VLOOKUP(B92,Orders!$A:$I,8,0),"")</f>
        <v>FOB Shipping Point</v>
      </c>
      <c r="J92" s="16">
        <f t="shared" si="5"/>
        <v>45975</v>
      </c>
      <c r="K92" s="15">
        <f t="shared" si="4"/>
        <v>193777.71000000002</v>
      </c>
      <c r="L92" s="14" t="str">
        <f>IF(H92="","Excluded - no order",IF(J92&lt;Assumptions!$B$3,"Pre-Q4",IF(J92&lt;=Assumptions!$B$4,"Q4 2025","Deferred Q1 2026")))</f>
        <v>Q4 2025</v>
      </c>
    </row>
    <row r="93" spans="1:12" ht="15" customHeight="1" x14ac:dyDescent="0.2">
      <c r="A93" s="14" t="s">
        <v>325</v>
      </c>
      <c r="B93" s="14" t="s">
        <v>322</v>
      </c>
      <c r="C93" s="18">
        <v>45977</v>
      </c>
      <c r="D93" s="18">
        <v>45979</v>
      </c>
      <c r="E93" s="14">
        <v>268</v>
      </c>
      <c r="F93" s="14" t="s">
        <v>326</v>
      </c>
      <c r="G93" s="14" t="s">
        <v>327</v>
      </c>
      <c r="H93" s="15">
        <f>IFERROR(VLOOKUP(B93,Orders!$A:$I,6,0),"")</f>
        <v>286.23</v>
      </c>
      <c r="I93" s="14" t="str">
        <f>IFERROR(VLOOKUP(B93,Orders!$A:$I,8,0),"")</f>
        <v>FOB Shipping Point</v>
      </c>
      <c r="J93" s="16">
        <f t="shared" si="5"/>
        <v>45977</v>
      </c>
      <c r="K93" s="15">
        <f t="shared" si="4"/>
        <v>76709.64</v>
      </c>
      <c r="L93" s="14" t="str">
        <f>IF(H93="","Excluded - no order",IF(J93&lt;Assumptions!$B$3,"Pre-Q4",IF(J93&lt;=Assumptions!$B$4,"Q4 2025","Deferred Q1 2026")))</f>
        <v>Q4 2025</v>
      </c>
    </row>
    <row r="94" spans="1:12" ht="15" customHeight="1" x14ac:dyDescent="0.2">
      <c r="A94" s="14" t="s">
        <v>328</v>
      </c>
      <c r="B94" s="14" t="s">
        <v>329</v>
      </c>
      <c r="C94" s="18">
        <v>45967</v>
      </c>
      <c r="D94" s="18">
        <v>45970</v>
      </c>
      <c r="E94" s="14">
        <v>520</v>
      </c>
      <c r="F94" s="14" t="s">
        <v>112</v>
      </c>
      <c r="G94" s="14" t="s">
        <v>113</v>
      </c>
      <c r="H94" s="15">
        <f>IFERROR(VLOOKUP(B94,Orders!$A:$I,6,0),"")</f>
        <v>413.76</v>
      </c>
      <c r="I94" s="14" t="str">
        <f>IFERROR(VLOOKUP(B94,Orders!$A:$I,8,0),"")</f>
        <v>FOB Shipping Point</v>
      </c>
      <c r="J94" s="16">
        <f t="shared" si="5"/>
        <v>45967</v>
      </c>
      <c r="K94" s="15">
        <f t="shared" si="4"/>
        <v>215155.19999999998</v>
      </c>
      <c r="L94" s="14" t="str">
        <f>IF(H94="","Excluded - no order",IF(J94&lt;Assumptions!$B$3,"Pre-Q4",IF(J94&lt;=Assumptions!$B$4,"Q4 2025","Deferred Q1 2026")))</f>
        <v>Q4 2025</v>
      </c>
    </row>
    <row r="95" spans="1:12" ht="15" customHeight="1" x14ac:dyDescent="0.2">
      <c r="A95" s="14" t="s">
        <v>330</v>
      </c>
      <c r="B95" s="14" t="s">
        <v>329</v>
      </c>
      <c r="C95" s="18">
        <v>45969</v>
      </c>
      <c r="D95" s="18">
        <v>45972</v>
      </c>
      <c r="E95" s="14">
        <v>245</v>
      </c>
      <c r="F95" s="14" t="s">
        <v>118</v>
      </c>
      <c r="G95" s="14" t="s">
        <v>119</v>
      </c>
      <c r="H95" s="15">
        <f>IFERROR(VLOOKUP(B95,Orders!$A:$I,6,0),"")</f>
        <v>413.76</v>
      </c>
      <c r="I95" s="14" t="str">
        <f>IFERROR(VLOOKUP(B95,Orders!$A:$I,8,0),"")</f>
        <v>FOB Shipping Point</v>
      </c>
      <c r="J95" s="16">
        <f t="shared" si="5"/>
        <v>45969</v>
      </c>
      <c r="K95" s="15">
        <f t="shared" si="4"/>
        <v>101371.2</v>
      </c>
      <c r="L95" s="14" t="str">
        <f>IF(H95="","Excluded - no order",IF(J95&lt;Assumptions!$B$3,"Pre-Q4",IF(J95&lt;=Assumptions!$B$4,"Q4 2025","Deferred Q1 2026")))</f>
        <v>Q4 2025</v>
      </c>
    </row>
    <row r="96" spans="1:12" ht="15" customHeight="1" x14ac:dyDescent="0.2">
      <c r="A96" s="14" t="s">
        <v>331</v>
      </c>
      <c r="B96" s="14" t="s">
        <v>332</v>
      </c>
      <c r="C96" s="18">
        <v>45950</v>
      </c>
      <c r="D96" s="18">
        <v>45953</v>
      </c>
      <c r="E96" s="14">
        <v>404</v>
      </c>
      <c r="F96" s="14" t="s">
        <v>122</v>
      </c>
      <c r="G96" s="14" t="s">
        <v>123</v>
      </c>
      <c r="H96" s="15">
        <f>IFERROR(VLOOKUP(B96,Orders!$A:$I,6,0),"")</f>
        <v>184.55</v>
      </c>
      <c r="I96" s="14" t="str">
        <f>IFERROR(VLOOKUP(B96,Orders!$A:$I,8,0),"")</f>
        <v>FOB Destination</v>
      </c>
      <c r="J96" s="16">
        <f t="shared" si="5"/>
        <v>45953</v>
      </c>
      <c r="K96" s="15">
        <f t="shared" si="4"/>
        <v>74558.200000000012</v>
      </c>
      <c r="L96" s="14" t="str">
        <f>IF(H96="","Excluded - no order",IF(J96&lt;Assumptions!$B$3,"Pre-Q4",IF(J96&lt;=Assumptions!$B$4,"Q4 2025","Deferred Q1 2026")))</f>
        <v>Q4 2025</v>
      </c>
    </row>
    <row r="97" spans="1:12" ht="15" customHeight="1" x14ac:dyDescent="0.2">
      <c r="A97" s="14" t="s">
        <v>333</v>
      </c>
      <c r="B97" s="14" t="s">
        <v>334</v>
      </c>
      <c r="C97" s="18">
        <v>46006</v>
      </c>
      <c r="D97" s="18">
        <v>46009</v>
      </c>
      <c r="E97" s="14">
        <v>946</v>
      </c>
      <c r="F97" s="14" t="s">
        <v>112</v>
      </c>
      <c r="G97" s="14" t="s">
        <v>113</v>
      </c>
      <c r="H97" s="15">
        <f>IFERROR(VLOOKUP(B97,Orders!$A:$I,6,0),"")</f>
        <v>240.95</v>
      </c>
      <c r="I97" s="14" t="str">
        <f>IFERROR(VLOOKUP(B97,Orders!$A:$I,8,0),"")</f>
        <v>FOB Destination</v>
      </c>
      <c r="J97" s="16">
        <f t="shared" si="5"/>
        <v>46009</v>
      </c>
      <c r="K97" s="15">
        <f t="shared" si="4"/>
        <v>227938.69999999998</v>
      </c>
      <c r="L97" s="14" t="str">
        <f>IF(H97="","Excluded - no order",IF(J97&lt;Assumptions!$B$3,"Pre-Q4",IF(J97&lt;=Assumptions!$B$4,"Q4 2025","Deferred Q1 2026")))</f>
        <v>Q4 2025</v>
      </c>
    </row>
    <row r="98" spans="1:12" ht="15" customHeight="1" x14ac:dyDescent="0.2">
      <c r="A98" s="14" t="s">
        <v>335</v>
      </c>
      <c r="B98" s="14" t="s">
        <v>336</v>
      </c>
      <c r="C98" s="18">
        <v>46015</v>
      </c>
      <c r="D98" s="18">
        <v>46016</v>
      </c>
      <c r="E98" s="14">
        <v>461</v>
      </c>
      <c r="F98" s="14" t="s">
        <v>149</v>
      </c>
      <c r="G98" s="14" t="s">
        <v>150</v>
      </c>
      <c r="H98" s="15">
        <f>IFERROR(VLOOKUP(B98,Orders!$A:$I,6,0),"")</f>
        <v>17.93</v>
      </c>
      <c r="I98" s="14" t="str">
        <f>IFERROR(VLOOKUP(B98,Orders!$A:$I,8,0),"")</f>
        <v>FOB Destination</v>
      </c>
      <c r="J98" s="16">
        <f t="shared" si="5"/>
        <v>46016</v>
      </c>
      <c r="K98" s="15">
        <f t="shared" si="4"/>
        <v>8265.73</v>
      </c>
      <c r="L98" s="14" t="str">
        <f>IF(H98="","Excluded - no order",IF(J98&lt;Assumptions!$B$3,"Pre-Q4",IF(J98&lt;=Assumptions!$B$4,"Q4 2025","Deferred Q1 2026")))</f>
        <v>Q4 2025</v>
      </c>
    </row>
    <row r="99" spans="1:12" ht="15" customHeight="1" x14ac:dyDescent="0.2">
      <c r="A99" s="14" t="s">
        <v>337</v>
      </c>
      <c r="B99" s="14" t="s">
        <v>338</v>
      </c>
      <c r="C99" s="18">
        <v>45978</v>
      </c>
      <c r="D99" s="18">
        <v>45979</v>
      </c>
      <c r="E99" s="14">
        <v>692</v>
      </c>
      <c r="F99" s="14" t="s">
        <v>73</v>
      </c>
      <c r="G99" s="14" t="s">
        <v>74</v>
      </c>
      <c r="H99" s="15">
        <f>IFERROR(VLOOKUP(B99,Orders!$A:$I,6,0),"")</f>
        <v>72.56</v>
      </c>
      <c r="I99" s="14" t="str">
        <f>IFERROR(VLOOKUP(B99,Orders!$A:$I,8,0),"")</f>
        <v>FOB Destination</v>
      </c>
      <c r="J99" s="16">
        <f t="shared" si="5"/>
        <v>45979</v>
      </c>
      <c r="K99" s="15">
        <f t="shared" si="4"/>
        <v>50211.520000000004</v>
      </c>
      <c r="L99" s="14" t="str">
        <f>IF(H99="","Excluded - no order",IF(J99&lt;Assumptions!$B$3,"Pre-Q4",IF(J99&lt;=Assumptions!$B$4,"Q4 2025","Deferred Q1 2026")))</f>
        <v>Q4 2025</v>
      </c>
    </row>
    <row r="100" spans="1:12" ht="15" customHeight="1" x14ac:dyDescent="0.2">
      <c r="A100" s="14" t="s">
        <v>339</v>
      </c>
      <c r="B100" s="14" t="s">
        <v>338</v>
      </c>
      <c r="C100" s="18">
        <v>45980</v>
      </c>
      <c r="D100" s="18">
        <v>45981</v>
      </c>
      <c r="E100" s="14">
        <v>1024</v>
      </c>
      <c r="F100" s="14" t="s">
        <v>100</v>
      </c>
      <c r="G100" s="14" t="s">
        <v>101</v>
      </c>
      <c r="H100" s="15">
        <f>IFERROR(VLOOKUP(B100,Orders!$A:$I,6,0),"")</f>
        <v>72.56</v>
      </c>
      <c r="I100" s="14" t="str">
        <f>IFERROR(VLOOKUP(B100,Orders!$A:$I,8,0),"")</f>
        <v>FOB Destination</v>
      </c>
      <c r="J100" s="16">
        <f t="shared" si="5"/>
        <v>45981</v>
      </c>
      <c r="K100" s="15">
        <f t="shared" si="4"/>
        <v>74301.440000000002</v>
      </c>
      <c r="L100" s="14" t="str">
        <f>IF(H100="","Excluded - no order",IF(J100&lt;Assumptions!$B$3,"Pre-Q4",IF(J100&lt;=Assumptions!$B$4,"Q4 2025","Deferred Q1 2026")))</f>
        <v>Q4 2025</v>
      </c>
    </row>
    <row r="101" spans="1:12" ht="15" customHeight="1" x14ac:dyDescent="0.2">
      <c r="A101" s="14" t="s">
        <v>340</v>
      </c>
      <c r="B101" s="14" t="s">
        <v>341</v>
      </c>
      <c r="C101" s="18">
        <v>45988</v>
      </c>
      <c r="D101" s="18">
        <v>45989</v>
      </c>
      <c r="E101" s="14">
        <v>1725</v>
      </c>
      <c r="F101" s="14" t="s">
        <v>77</v>
      </c>
      <c r="G101" s="14" t="s">
        <v>78</v>
      </c>
      <c r="H101" s="15">
        <f>IFERROR(VLOOKUP(B101,Orders!$A:$I,6,0),"")</f>
        <v>130.03</v>
      </c>
      <c r="I101" s="14" t="str">
        <f>IFERROR(VLOOKUP(B101,Orders!$A:$I,8,0),"")</f>
        <v>FOB Shipping Point</v>
      </c>
      <c r="J101" s="16">
        <f t="shared" si="5"/>
        <v>45988</v>
      </c>
      <c r="K101" s="15">
        <f t="shared" si="4"/>
        <v>224301.75</v>
      </c>
      <c r="L101" s="14" t="str">
        <f>IF(H101="","Excluded - no order",IF(J101&lt;Assumptions!$B$3,"Pre-Q4",IF(J101&lt;=Assumptions!$B$4,"Q4 2025","Deferred Q1 2026")))</f>
        <v>Q4 2025</v>
      </c>
    </row>
    <row r="102" spans="1:12" ht="15" customHeight="1" x14ac:dyDescent="0.2">
      <c r="A102" s="14" t="s">
        <v>342</v>
      </c>
      <c r="B102" s="14" t="s">
        <v>343</v>
      </c>
      <c r="C102" s="18">
        <v>46020</v>
      </c>
      <c r="D102" s="18">
        <v>46025</v>
      </c>
      <c r="E102" s="14">
        <v>437</v>
      </c>
      <c r="F102" s="14" t="s">
        <v>112</v>
      </c>
      <c r="G102" s="14" t="s">
        <v>113</v>
      </c>
      <c r="H102" s="15">
        <f>IFERROR(VLOOKUP(B102,Orders!$A:$I,6,0),"")</f>
        <v>203.78</v>
      </c>
      <c r="I102" s="14" t="str">
        <f>IFERROR(VLOOKUP(B102,Orders!$A:$I,8,0),"")</f>
        <v>FOB Shipping Point</v>
      </c>
      <c r="J102" s="16">
        <f t="shared" si="5"/>
        <v>46020</v>
      </c>
      <c r="K102" s="15">
        <f t="shared" si="4"/>
        <v>89051.86</v>
      </c>
      <c r="L102" s="14" t="str">
        <f>IF(H102="","Excluded - no order",IF(J102&lt;Assumptions!$B$3,"Pre-Q4",IF(J102&lt;=Assumptions!$B$4,"Q4 2025","Deferred Q1 2026")))</f>
        <v>Q4 2025</v>
      </c>
    </row>
    <row r="103" spans="1:12" ht="15" customHeight="1" x14ac:dyDescent="0.2">
      <c r="A103" s="14" t="s">
        <v>344</v>
      </c>
      <c r="B103" s="14" t="s">
        <v>343</v>
      </c>
      <c r="C103" s="18">
        <v>46031</v>
      </c>
      <c r="D103" s="18">
        <v>46038</v>
      </c>
      <c r="E103" s="14">
        <v>618</v>
      </c>
      <c r="F103" s="14" t="s">
        <v>118</v>
      </c>
      <c r="G103" s="14" t="s">
        <v>119</v>
      </c>
      <c r="H103" s="15">
        <f>IFERROR(VLOOKUP(B103,Orders!$A:$I,6,0),"")</f>
        <v>203.78</v>
      </c>
      <c r="I103" s="14" t="str">
        <f>IFERROR(VLOOKUP(B103,Orders!$A:$I,8,0),"")</f>
        <v>FOB Shipping Point</v>
      </c>
      <c r="J103" s="16">
        <f t="shared" si="5"/>
        <v>46031</v>
      </c>
      <c r="K103" s="15">
        <f t="shared" si="4"/>
        <v>125936.04</v>
      </c>
      <c r="L103" s="14" t="str">
        <f>IF(H103="","Excluded - no order",IF(J103&lt;Assumptions!$B$3,"Pre-Q4",IF(J103&lt;=Assumptions!$B$4,"Q4 2025","Deferred Q1 2026")))</f>
        <v>Deferred Q1 2026</v>
      </c>
    </row>
    <row r="104" spans="1:12" ht="15" customHeight="1" x14ac:dyDescent="0.2">
      <c r="A104" s="14" t="s">
        <v>345</v>
      </c>
      <c r="B104" s="14" t="s">
        <v>346</v>
      </c>
      <c r="C104" s="18">
        <v>45981</v>
      </c>
      <c r="D104" s="18">
        <v>45983</v>
      </c>
      <c r="E104" s="14">
        <v>215</v>
      </c>
      <c r="F104" s="14" t="s">
        <v>77</v>
      </c>
      <c r="G104" s="14" t="s">
        <v>78</v>
      </c>
      <c r="H104" s="15">
        <f>IFERROR(VLOOKUP(B104,Orders!$A:$I,6,0),"")</f>
        <v>157.74</v>
      </c>
      <c r="I104" s="14" t="str">
        <f>IFERROR(VLOOKUP(B104,Orders!$A:$I,8,0),"")</f>
        <v>FOB Shipping Point</v>
      </c>
      <c r="J104" s="16">
        <f t="shared" si="5"/>
        <v>45981</v>
      </c>
      <c r="K104" s="15">
        <f t="shared" si="4"/>
        <v>33914.1</v>
      </c>
      <c r="L104" s="14" t="str">
        <f>IF(H104="","Excluded - no order",IF(J104&lt;Assumptions!$B$3,"Pre-Q4",IF(J104&lt;=Assumptions!$B$4,"Q4 2025","Deferred Q1 2026")))</f>
        <v>Q4 2025</v>
      </c>
    </row>
    <row r="105" spans="1:12" ht="15" customHeight="1" x14ac:dyDescent="0.2">
      <c r="A105" s="14" t="s">
        <v>347</v>
      </c>
      <c r="B105" s="14" t="s">
        <v>348</v>
      </c>
      <c r="C105" s="18">
        <v>45966</v>
      </c>
      <c r="D105" s="18">
        <v>45967</v>
      </c>
      <c r="E105" s="14">
        <v>943</v>
      </c>
      <c r="F105" s="14" t="s">
        <v>122</v>
      </c>
      <c r="G105" s="14" t="s">
        <v>123</v>
      </c>
      <c r="H105" s="15">
        <f>IFERROR(VLOOKUP(B105,Orders!$A:$I,6,0),"")</f>
        <v>171.18</v>
      </c>
      <c r="I105" s="14" t="str">
        <f>IFERROR(VLOOKUP(B105,Orders!$A:$I,8,0),"")</f>
        <v>FOB Destination</v>
      </c>
      <c r="J105" s="16">
        <f t="shared" si="5"/>
        <v>45967</v>
      </c>
      <c r="K105" s="15">
        <f t="shared" si="4"/>
        <v>161422.74000000002</v>
      </c>
      <c r="L105" s="14" t="str">
        <f>IF(H105="","Excluded - no order",IF(J105&lt;Assumptions!$B$3,"Pre-Q4",IF(J105&lt;=Assumptions!$B$4,"Q4 2025","Deferred Q1 2026")))</f>
        <v>Q4 2025</v>
      </c>
    </row>
    <row r="106" spans="1:12" ht="15" customHeight="1" x14ac:dyDescent="0.2">
      <c r="A106" s="14" t="s">
        <v>349</v>
      </c>
      <c r="B106" s="14" t="s">
        <v>350</v>
      </c>
      <c r="C106" s="18">
        <v>46021</v>
      </c>
      <c r="D106" s="18">
        <v>46022</v>
      </c>
      <c r="E106" s="14">
        <v>273</v>
      </c>
      <c r="F106" s="14" t="s">
        <v>118</v>
      </c>
      <c r="G106" s="14" t="s">
        <v>119</v>
      </c>
      <c r="H106" s="15">
        <f>IFERROR(VLOOKUP(B106,Orders!$A:$I,6,0),"")</f>
        <v>464.3</v>
      </c>
      <c r="I106" s="14" t="str">
        <f>IFERROR(VLOOKUP(B106,Orders!$A:$I,8,0),"")</f>
        <v>FOB Destination</v>
      </c>
      <c r="J106" s="16">
        <f t="shared" si="5"/>
        <v>46022</v>
      </c>
      <c r="K106" s="15">
        <f t="shared" si="4"/>
        <v>126753.90000000001</v>
      </c>
      <c r="L106" s="14" t="str">
        <f>IF(H106="","Excluded - no order",IF(J106&lt;Assumptions!$B$3,"Pre-Q4",IF(J106&lt;=Assumptions!$B$4,"Q4 2025","Deferred Q1 2026")))</f>
        <v>Q4 2025</v>
      </c>
    </row>
    <row r="107" spans="1:12" ht="15" customHeight="1" x14ac:dyDescent="0.2">
      <c r="A107" s="14" t="s">
        <v>351</v>
      </c>
      <c r="B107" s="14" t="s">
        <v>350</v>
      </c>
      <c r="C107" s="18">
        <v>46023</v>
      </c>
      <c r="D107" s="18">
        <v>46022</v>
      </c>
      <c r="E107" s="14">
        <v>93</v>
      </c>
      <c r="F107" s="14" t="s">
        <v>122</v>
      </c>
      <c r="G107" s="14" t="s">
        <v>123</v>
      </c>
      <c r="H107" s="15">
        <f>IFERROR(VLOOKUP(B107,Orders!$A:$I,6,0),"")</f>
        <v>464.3</v>
      </c>
      <c r="I107" s="14" t="str">
        <f>IFERROR(VLOOKUP(B107,Orders!$A:$I,8,0),"")</f>
        <v>FOB Destination</v>
      </c>
      <c r="J107" s="16">
        <f t="shared" si="5"/>
        <v>46022</v>
      </c>
      <c r="K107" s="15">
        <f t="shared" si="4"/>
        <v>43179.9</v>
      </c>
      <c r="L107" s="14" t="str">
        <f>IF(H107="","Excluded - no order",IF(J107&lt;Assumptions!$B$3,"Pre-Q4",IF(J107&lt;=Assumptions!$B$4,"Q4 2025","Deferred Q1 2026")))</f>
        <v>Q4 2025</v>
      </c>
    </row>
    <row r="108" spans="1:12" ht="15" customHeight="1" x14ac:dyDescent="0.2">
      <c r="A108" s="14" t="s">
        <v>352</v>
      </c>
      <c r="B108" s="14" t="s">
        <v>353</v>
      </c>
      <c r="C108" s="18">
        <v>46006</v>
      </c>
      <c r="D108" s="18">
        <v>46008</v>
      </c>
      <c r="E108" s="14">
        <v>1023</v>
      </c>
      <c r="F108" s="14" t="s">
        <v>354</v>
      </c>
      <c r="G108" s="14" t="s">
        <v>355</v>
      </c>
      <c r="H108" s="15">
        <f>IFERROR(VLOOKUP(B108,Orders!$A:$I,6,0),"")</f>
        <v>67.42</v>
      </c>
      <c r="I108" s="14" t="str">
        <f>IFERROR(VLOOKUP(B108,Orders!$A:$I,8,0),"")</f>
        <v>FOB Shipping Point</v>
      </c>
      <c r="J108" s="16">
        <f t="shared" si="5"/>
        <v>46006</v>
      </c>
      <c r="K108" s="15">
        <f t="shared" si="4"/>
        <v>68970.66</v>
      </c>
      <c r="L108" s="14" t="str">
        <f>IF(H108="","Excluded - no order",IF(J108&lt;Assumptions!$B$3,"Pre-Q4",IF(J108&lt;=Assumptions!$B$4,"Q4 2025","Deferred Q1 2026")))</f>
        <v>Q4 2025</v>
      </c>
    </row>
    <row r="109" spans="1:12" ht="15" customHeight="1" x14ac:dyDescent="0.2">
      <c r="A109" s="14" t="s">
        <v>356</v>
      </c>
      <c r="B109" s="14" t="s">
        <v>357</v>
      </c>
      <c r="C109" s="18">
        <v>45980</v>
      </c>
      <c r="D109" s="18">
        <v>45983</v>
      </c>
      <c r="E109" s="14">
        <v>1603</v>
      </c>
      <c r="F109" s="14" t="s">
        <v>358</v>
      </c>
      <c r="G109" s="14" t="s">
        <v>359</v>
      </c>
      <c r="H109" s="15">
        <f>IFERROR(VLOOKUP(B109,Orders!$A:$I,6,0),"")</f>
        <v>394.56</v>
      </c>
      <c r="I109" s="14" t="str">
        <f>IFERROR(VLOOKUP(B109,Orders!$A:$I,8,0),"")</f>
        <v>FOB Destination</v>
      </c>
      <c r="J109" s="16">
        <f t="shared" si="5"/>
        <v>45983</v>
      </c>
      <c r="K109" s="15">
        <f t="shared" si="4"/>
        <v>632479.68000000005</v>
      </c>
      <c r="L109" s="14" t="str">
        <f>IF(H109="","Excluded - no order",IF(J109&lt;Assumptions!$B$3,"Pre-Q4",IF(J109&lt;=Assumptions!$B$4,"Q4 2025","Deferred Q1 2026")))</f>
        <v>Q4 2025</v>
      </c>
    </row>
    <row r="110" spans="1:12" ht="15" customHeight="1" x14ac:dyDescent="0.2">
      <c r="A110" s="14" t="s">
        <v>360</v>
      </c>
      <c r="B110" s="14" t="s">
        <v>361</v>
      </c>
      <c r="C110" s="18">
        <v>45969</v>
      </c>
      <c r="D110" s="18">
        <v>45970</v>
      </c>
      <c r="E110" s="14">
        <v>651</v>
      </c>
      <c r="F110" s="14" t="s">
        <v>77</v>
      </c>
      <c r="G110" s="14" t="s">
        <v>78</v>
      </c>
      <c r="H110" s="15">
        <f>IFERROR(VLOOKUP(B110,Orders!$A:$I,6,0),"")</f>
        <v>391.11</v>
      </c>
      <c r="I110" s="14" t="str">
        <f>IFERROR(VLOOKUP(B110,Orders!$A:$I,8,0),"")</f>
        <v>FOB Shipping Point</v>
      </c>
      <c r="J110" s="16">
        <f t="shared" si="5"/>
        <v>45969</v>
      </c>
      <c r="K110" s="15">
        <f t="shared" si="4"/>
        <v>254612.61000000002</v>
      </c>
      <c r="L110" s="14" t="str">
        <f>IF(H110="","Excluded - no order",IF(J110&lt;Assumptions!$B$3,"Pre-Q4",IF(J110&lt;=Assumptions!$B$4,"Q4 2025","Deferred Q1 2026")))</f>
        <v>Q4 2025</v>
      </c>
    </row>
    <row r="111" spans="1:12" ht="15" customHeight="1" x14ac:dyDescent="0.2">
      <c r="A111" s="14" t="s">
        <v>362</v>
      </c>
      <c r="B111" s="14" t="s">
        <v>363</v>
      </c>
      <c r="C111" s="18">
        <v>45939</v>
      </c>
      <c r="D111" s="18">
        <v>45942</v>
      </c>
      <c r="E111" s="14">
        <v>1579</v>
      </c>
      <c r="F111" s="14" t="s">
        <v>364</v>
      </c>
      <c r="G111" s="14" t="s">
        <v>365</v>
      </c>
      <c r="H111" s="15">
        <f>IFERROR(VLOOKUP(B111,Orders!$A:$I,6,0),"")</f>
        <v>416.98</v>
      </c>
      <c r="I111" s="14" t="str">
        <f>IFERROR(VLOOKUP(B111,Orders!$A:$I,8,0),"")</f>
        <v>FOB Shipping Point</v>
      </c>
      <c r="J111" s="16">
        <f t="shared" si="5"/>
        <v>45939</v>
      </c>
      <c r="K111" s="15">
        <f t="shared" si="4"/>
        <v>658411.42000000004</v>
      </c>
      <c r="L111" s="14" t="str">
        <f>IF(H111="","Excluded - no order",IF(J111&lt;Assumptions!$B$3,"Pre-Q4",IF(J111&lt;=Assumptions!$B$4,"Q4 2025","Deferred Q1 2026")))</f>
        <v>Q4 2025</v>
      </c>
    </row>
    <row r="112" spans="1:12" ht="15" customHeight="1" x14ac:dyDescent="0.2">
      <c r="A112" s="14" t="s">
        <v>366</v>
      </c>
      <c r="B112" s="14" t="s">
        <v>367</v>
      </c>
      <c r="C112" s="18">
        <v>45978</v>
      </c>
      <c r="D112" s="18">
        <v>45983</v>
      </c>
      <c r="E112" s="14">
        <v>756</v>
      </c>
      <c r="F112" s="14" t="s">
        <v>368</v>
      </c>
      <c r="G112" s="14" t="s">
        <v>369</v>
      </c>
      <c r="H112" s="15">
        <f>IFERROR(VLOOKUP(B112,Orders!$A:$I,6,0),"")</f>
        <v>422.84</v>
      </c>
      <c r="I112" s="14" t="str">
        <f>IFERROR(VLOOKUP(B112,Orders!$A:$I,8,0),"")</f>
        <v>FOB Shipping Point</v>
      </c>
      <c r="J112" s="16">
        <f t="shared" si="5"/>
        <v>45978</v>
      </c>
      <c r="K112" s="15">
        <f t="shared" si="4"/>
        <v>319667.03999999998</v>
      </c>
      <c r="L112" s="14" t="str">
        <f>IF(H112="","Excluded - no order",IF(J112&lt;Assumptions!$B$3,"Pre-Q4",IF(J112&lt;=Assumptions!$B$4,"Q4 2025","Deferred Q1 2026")))</f>
        <v>Q4 2025</v>
      </c>
    </row>
    <row r="113" spans="1:12" ht="15" customHeight="1" x14ac:dyDescent="0.2">
      <c r="A113" s="14" t="s">
        <v>370</v>
      </c>
      <c r="B113" s="14" t="s">
        <v>367</v>
      </c>
      <c r="C113" s="18">
        <v>45980</v>
      </c>
      <c r="D113" s="18">
        <v>45985</v>
      </c>
      <c r="E113" s="14">
        <v>726</v>
      </c>
      <c r="F113" s="14" t="s">
        <v>73</v>
      </c>
      <c r="G113" s="14" t="s">
        <v>74</v>
      </c>
      <c r="H113" s="15">
        <f>IFERROR(VLOOKUP(B113,Orders!$A:$I,6,0),"")</f>
        <v>422.84</v>
      </c>
      <c r="I113" s="14" t="str">
        <f>IFERROR(VLOOKUP(B113,Orders!$A:$I,8,0),"")</f>
        <v>FOB Shipping Point</v>
      </c>
      <c r="J113" s="16">
        <f t="shared" si="5"/>
        <v>45980</v>
      </c>
      <c r="K113" s="15">
        <f t="shared" si="4"/>
        <v>306981.83999999997</v>
      </c>
      <c r="L113" s="14" t="str">
        <f>IF(H113="","Excluded - no order",IF(J113&lt;Assumptions!$B$3,"Pre-Q4",IF(J113&lt;=Assumptions!$B$4,"Q4 2025","Deferred Q1 2026")))</f>
        <v>Q4 2025</v>
      </c>
    </row>
    <row r="114" spans="1:12" ht="15" customHeight="1" x14ac:dyDescent="0.2">
      <c r="A114" s="14" t="s">
        <v>371</v>
      </c>
      <c r="B114" s="14" t="s">
        <v>372</v>
      </c>
      <c r="C114" s="18">
        <v>45999</v>
      </c>
      <c r="D114" s="18">
        <v>46004</v>
      </c>
      <c r="E114" s="14">
        <v>1112</v>
      </c>
      <c r="F114" s="14" t="s">
        <v>373</v>
      </c>
      <c r="G114" s="14" t="s">
        <v>374</v>
      </c>
      <c r="H114" s="15">
        <f>IFERROR(VLOOKUP(B114,Orders!$A:$I,6,0),"")</f>
        <v>349.91</v>
      </c>
      <c r="I114" s="14" t="str">
        <f>IFERROR(VLOOKUP(B114,Orders!$A:$I,8,0),"")</f>
        <v>FOB Destination</v>
      </c>
      <c r="J114" s="16">
        <f t="shared" si="5"/>
        <v>46004</v>
      </c>
      <c r="K114" s="15">
        <f t="shared" si="4"/>
        <v>389099.92000000004</v>
      </c>
      <c r="L114" s="14" t="str">
        <f>IF(H114="","Excluded - no order",IF(J114&lt;Assumptions!$B$3,"Pre-Q4",IF(J114&lt;=Assumptions!$B$4,"Q4 2025","Deferred Q1 2026")))</f>
        <v>Q4 2025</v>
      </c>
    </row>
    <row r="115" spans="1:12" ht="15" customHeight="1" x14ac:dyDescent="0.2">
      <c r="A115" s="14" t="s">
        <v>375</v>
      </c>
      <c r="B115" s="14" t="s">
        <v>376</v>
      </c>
      <c r="C115" s="18">
        <v>46006</v>
      </c>
      <c r="D115" s="18">
        <v>46011</v>
      </c>
      <c r="E115" s="14">
        <v>286</v>
      </c>
      <c r="F115" s="14" t="s">
        <v>100</v>
      </c>
      <c r="G115" s="14" t="s">
        <v>101</v>
      </c>
      <c r="H115" s="15">
        <f>IFERROR(VLOOKUP(B115,Orders!$A:$I,6,0),"")</f>
        <v>20.54</v>
      </c>
      <c r="I115" s="14" t="str">
        <f>IFERROR(VLOOKUP(B115,Orders!$A:$I,8,0),"")</f>
        <v>FOB Shipping Point</v>
      </c>
      <c r="J115" s="16">
        <f t="shared" si="5"/>
        <v>46006</v>
      </c>
      <c r="K115" s="15">
        <f t="shared" si="4"/>
        <v>5874.44</v>
      </c>
      <c r="L115" s="14" t="str">
        <f>IF(H115="","Excluded - no order",IF(J115&lt;Assumptions!$B$3,"Pre-Q4",IF(J115&lt;=Assumptions!$B$4,"Q4 2025","Deferred Q1 2026")))</f>
        <v>Q4 2025</v>
      </c>
    </row>
    <row r="116" spans="1:12" ht="15" customHeight="1" x14ac:dyDescent="0.2">
      <c r="A116" s="14" t="s">
        <v>377</v>
      </c>
      <c r="B116" s="14" t="s">
        <v>376</v>
      </c>
      <c r="C116" s="18">
        <v>46008</v>
      </c>
      <c r="D116" s="18">
        <v>46013</v>
      </c>
      <c r="E116" s="14">
        <v>223</v>
      </c>
      <c r="F116" s="14" t="s">
        <v>112</v>
      </c>
      <c r="G116" s="14" t="s">
        <v>113</v>
      </c>
      <c r="H116" s="15">
        <f>IFERROR(VLOOKUP(B116,Orders!$A:$I,6,0),"")</f>
        <v>20.54</v>
      </c>
      <c r="I116" s="14" t="str">
        <f>IFERROR(VLOOKUP(B116,Orders!$A:$I,8,0),"")</f>
        <v>FOB Shipping Point</v>
      </c>
      <c r="J116" s="16">
        <f t="shared" si="5"/>
        <v>46008</v>
      </c>
      <c r="K116" s="15">
        <f t="shared" si="4"/>
        <v>4580.42</v>
      </c>
      <c r="L116" s="14" t="str">
        <f>IF(H116="","Excluded - no order",IF(J116&lt;Assumptions!$B$3,"Pre-Q4",IF(J116&lt;=Assumptions!$B$4,"Q4 2025","Deferred Q1 2026")))</f>
        <v>Q4 2025</v>
      </c>
    </row>
    <row r="117" spans="1:12" ht="15" customHeight="1" x14ac:dyDescent="0.2">
      <c r="A117" s="14" t="s">
        <v>378</v>
      </c>
      <c r="B117" s="14" t="s">
        <v>379</v>
      </c>
      <c r="C117" s="18">
        <v>45948</v>
      </c>
      <c r="D117" s="18">
        <v>45949</v>
      </c>
      <c r="E117" s="14">
        <v>1018</v>
      </c>
      <c r="F117" s="14" t="s">
        <v>149</v>
      </c>
      <c r="G117" s="14" t="s">
        <v>150</v>
      </c>
      <c r="H117" s="15">
        <f>IFERROR(VLOOKUP(B117,Orders!$A:$I,6,0),"")</f>
        <v>351.88</v>
      </c>
      <c r="I117" s="14" t="str">
        <f>IFERROR(VLOOKUP(B117,Orders!$A:$I,8,0),"")</f>
        <v>FOB Destination</v>
      </c>
      <c r="J117" s="16">
        <f t="shared" si="5"/>
        <v>45949</v>
      </c>
      <c r="K117" s="15">
        <f t="shared" si="4"/>
        <v>358213.83999999997</v>
      </c>
      <c r="L117" s="14" t="str">
        <f>IF(H117="","Excluded - no order",IF(J117&lt;Assumptions!$B$3,"Pre-Q4",IF(J117&lt;=Assumptions!$B$4,"Q4 2025","Deferred Q1 2026")))</f>
        <v>Q4 2025</v>
      </c>
    </row>
    <row r="118" spans="1:12" ht="15" customHeight="1" x14ac:dyDescent="0.2">
      <c r="A118" s="14" t="s">
        <v>380</v>
      </c>
      <c r="B118" s="14" t="s">
        <v>381</v>
      </c>
      <c r="C118" s="18">
        <v>45984</v>
      </c>
      <c r="D118" s="18">
        <v>45989</v>
      </c>
      <c r="E118" s="14">
        <v>719</v>
      </c>
      <c r="F118" s="14" t="s">
        <v>382</v>
      </c>
      <c r="G118" s="14" t="s">
        <v>383</v>
      </c>
      <c r="H118" s="15">
        <f>IFERROR(VLOOKUP(B118,Orders!$A:$I,6,0),"")</f>
        <v>278.33999999999997</v>
      </c>
      <c r="I118" s="14" t="str">
        <f>IFERROR(VLOOKUP(B118,Orders!$A:$I,8,0),"")</f>
        <v>FOB Destination</v>
      </c>
      <c r="J118" s="16">
        <f t="shared" si="5"/>
        <v>45989</v>
      </c>
      <c r="K118" s="15">
        <f t="shared" si="4"/>
        <v>200126.46</v>
      </c>
      <c r="L118" s="14" t="str">
        <f>IF(H118="","Excluded - no order",IF(J118&lt;Assumptions!$B$3,"Pre-Q4",IF(J118&lt;=Assumptions!$B$4,"Q4 2025","Deferred Q1 2026")))</f>
        <v>Q4 2025</v>
      </c>
    </row>
    <row r="119" spans="1:12" ht="15" customHeight="1" x14ac:dyDescent="0.2">
      <c r="A119" s="14" t="s">
        <v>384</v>
      </c>
      <c r="B119" s="14" t="s">
        <v>381</v>
      </c>
      <c r="C119" s="18">
        <v>45986</v>
      </c>
      <c r="D119" s="18">
        <v>45991</v>
      </c>
      <c r="E119" s="14">
        <v>940</v>
      </c>
      <c r="F119" s="14" t="s">
        <v>385</v>
      </c>
      <c r="G119" s="14" t="s">
        <v>386</v>
      </c>
      <c r="H119" s="15">
        <f>IFERROR(VLOOKUP(B119,Orders!$A:$I,6,0),"")</f>
        <v>278.33999999999997</v>
      </c>
      <c r="I119" s="14" t="str">
        <f>IFERROR(VLOOKUP(B119,Orders!$A:$I,8,0),"")</f>
        <v>FOB Destination</v>
      </c>
      <c r="J119" s="16">
        <f t="shared" si="5"/>
        <v>45991</v>
      </c>
      <c r="K119" s="15">
        <f t="shared" si="4"/>
        <v>261639.59999999998</v>
      </c>
      <c r="L119" s="14" t="str">
        <f>IF(H119="","Excluded - no order",IF(J119&lt;Assumptions!$B$3,"Pre-Q4",IF(J119&lt;=Assumptions!$B$4,"Q4 2025","Deferred Q1 2026")))</f>
        <v>Q4 2025</v>
      </c>
    </row>
    <row r="120" spans="1:12" ht="15" customHeight="1" x14ac:dyDescent="0.2">
      <c r="A120" s="14" t="s">
        <v>387</v>
      </c>
      <c r="B120" s="14" t="s">
        <v>388</v>
      </c>
      <c r="C120" s="18">
        <v>46005</v>
      </c>
      <c r="D120" s="18">
        <v>46007</v>
      </c>
      <c r="E120" s="14">
        <v>1604</v>
      </c>
      <c r="F120" s="14" t="s">
        <v>73</v>
      </c>
      <c r="G120" s="14" t="s">
        <v>74</v>
      </c>
      <c r="H120" s="15">
        <f>IFERROR(VLOOKUP(B120,Orders!$A:$I,6,0),"")</f>
        <v>119.24</v>
      </c>
      <c r="I120" s="14" t="str">
        <f>IFERROR(VLOOKUP(B120,Orders!$A:$I,8,0),"")</f>
        <v>FOB Shipping Point</v>
      </c>
      <c r="J120" s="16">
        <f t="shared" si="5"/>
        <v>46005</v>
      </c>
      <c r="K120" s="15">
        <f t="shared" si="4"/>
        <v>191260.96</v>
      </c>
      <c r="L120" s="14" t="str">
        <f>IF(H120="","Excluded - no order",IF(J120&lt;Assumptions!$B$3,"Pre-Q4",IF(J120&lt;=Assumptions!$B$4,"Q4 2025","Deferred Q1 2026")))</f>
        <v>Q4 2025</v>
      </c>
    </row>
    <row r="121" spans="1:12" ht="15" customHeight="1" x14ac:dyDescent="0.2">
      <c r="A121" s="14" t="s">
        <v>389</v>
      </c>
      <c r="B121" s="14" t="s">
        <v>390</v>
      </c>
      <c r="C121" s="18">
        <v>46016</v>
      </c>
      <c r="D121" s="18">
        <v>46021</v>
      </c>
      <c r="E121" s="14">
        <v>1295</v>
      </c>
      <c r="F121" s="14" t="s">
        <v>100</v>
      </c>
      <c r="G121" s="14" t="s">
        <v>101</v>
      </c>
      <c r="H121" s="15">
        <f>IFERROR(VLOOKUP(B121,Orders!$A:$I,6,0),"")</f>
        <v>120.85</v>
      </c>
      <c r="I121" s="14" t="str">
        <f>IFERROR(VLOOKUP(B121,Orders!$A:$I,8,0),"")</f>
        <v>FOB Destination</v>
      </c>
      <c r="J121" s="16">
        <f t="shared" si="5"/>
        <v>46021</v>
      </c>
      <c r="K121" s="15">
        <f t="shared" si="4"/>
        <v>156500.75</v>
      </c>
      <c r="L121" s="14" t="str">
        <f>IF(H121="","Excluded - no order",IF(J121&lt;Assumptions!$B$3,"Pre-Q4",IF(J121&lt;=Assumptions!$B$4,"Q4 2025","Deferred Q1 2026")))</f>
        <v>Q4 2025</v>
      </c>
    </row>
    <row r="122" spans="1:12" ht="15" customHeight="1" x14ac:dyDescent="0.2">
      <c r="A122" s="14" t="s">
        <v>391</v>
      </c>
      <c r="B122" s="14" t="s">
        <v>392</v>
      </c>
      <c r="C122" s="18">
        <v>45986</v>
      </c>
      <c r="D122" s="18">
        <v>45989</v>
      </c>
      <c r="E122" s="14">
        <v>764</v>
      </c>
      <c r="F122" s="14" t="s">
        <v>112</v>
      </c>
      <c r="G122" s="14" t="s">
        <v>113</v>
      </c>
      <c r="H122" s="15">
        <f>IFERROR(VLOOKUP(B122,Orders!$A:$I,6,0),"")</f>
        <v>333.33</v>
      </c>
      <c r="I122" s="14" t="str">
        <f>IFERROR(VLOOKUP(B122,Orders!$A:$I,8,0),"")</f>
        <v>FOB Shipping Point</v>
      </c>
      <c r="J122" s="16">
        <f t="shared" si="5"/>
        <v>45986</v>
      </c>
      <c r="K122" s="15">
        <f t="shared" si="4"/>
        <v>254664.12</v>
      </c>
      <c r="L122" s="14" t="str">
        <f>IF(H122="","Excluded - no order",IF(J122&lt;Assumptions!$B$3,"Pre-Q4",IF(J122&lt;=Assumptions!$B$4,"Q4 2025","Deferred Q1 2026")))</f>
        <v>Q4 2025</v>
      </c>
    </row>
    <row r="123" spans="1:12" ht="15" customHeight="1" x14ac:dyDescent="0.2">
      <c r="A123" s="14" t="s">
        <v>393</v>
      </c>
      <c r="B123" s="14" t="s">
        <v>394</v>
      </c>
      <c r="C123" s="18">
        <v>46007</v>
      </c>
      <c r="D123" s="18">
        <v>46008</v>
      </c>
      <c r="E123" s="14">
        <v>1816</v>
      </c>
      <c r="F123" s="14" t="s">
        <v>149</v>
      </c>
      <c r="G123" s="14" t="s">
        <v>150</v>
      </c>
      <c r="H123" s="15">
        <f>IFERROR(VLOOKUP(B123,Orders!$A:$I,6,0),"")</f>
        <v>180.44</v>
      </c>
      <c r="I123" s="14" t="str">
        <f>IFERROR(VLOOKUP(B123,Orders!$A:$I,8,0),"")</f>
        <v>FOB Shipping Point</v>
      </c>
      <c r="J123" s="16">
        <f t="shared" si="5"/>
        <v>46007</v>
      </c>
      <c r="K123" s="15">
        <f t="shared" si="4"/>
        <v>327679.03999999998</v>
      </c>
      <c r="L123" s="14" t="str">
        <f>IF(H123="","Excluded - no order",IF(J123&lt;Assumptions!$B$3,"Pre-Q4",IF(J123&lt;=Assumptions!$B$4,"Q4 2025","Deferred Q1 2026")))</f>
        <v>Q4 2025</v>
      </c>
    </row>
    <row r="124" spans="1:12" ht="15" customHeight="1" x14ac:dyDescent="0.2">
      <c r="A124" s="14" t="s">
        <v>395</v>
      </c>
      <c r="B124" s="14" t="s">
        <v>396</v>
      </c>
      <c r="C124" s="18">
        <v>45993</v>
      </c>
      <c r="D124" s="18">
        <v>45998</v>
      </c>
      <c r="E124" s="14">
        <v>1328</v>
      </c>
      <c r="F124" s="14" t="s">
        <v>73</v>
      </c>
      <c r="G124" s="14" t="s">
        <v>74</v>
      </c>
      <c r="H124" s="15">
        <f>IFERROR(VLOOKUP(B124,Orders!$A:$I,6,0),"")</f>
        <v>459.62</v>
      </c>
      <c r="I124" s="14" t="str">
        <f>IFERROR(VLOOKUP(B124,Orders!$A:$I,8,0),"")</f>
        <v>FOB Shipping Point</v>
      </c>
      <c r="J124" s="16">
        <f t="shared" si="5"/>
        <v>45993</v>
      </c>
      <c r="K124" s="15">
        <f t="shared" si="4"/>
        <v>610375.36</v>
      </c>
      <c r="L124" s="14" t="str">
        <f>IF(H124="","Excluded - no order",IF(J124&lt;Assumptions!$B$3,"Pre-Q4",IF(J124&lt;=Assumptions!$B$4,"Q4 2025","Deferred Q1 2026")))</f>
        <v>Q4 2025</v>
      </c>
    </row>
    <row r="125" spans="1:12" ht="15" customHeight="1" x14ac:dyDescent="0.2">
      <c r="A125" s="14" t="s">
        <v>397</v>
      </c>
      <c r="B125" s="14" t="s">
        <v>398</v>
      </c>
      <c r="C125" s="18">
        <v>45979</v>
      </c>
      <c r="D125" s="18">
        <v>45983</v>
      </c>
      <c r="E125" s="14">
        <v>286</v>
      </c>
      <c r="F125" s="14" t="s">
        <v>118</v>
      </c>
      <c r="G125" s="14" t="s">
        <v>119</v>
      </c>
      <c r="H125" s="15">
        <f>IFERROR(VLOOKUP(B125,Orders!$A:$I,6,0),"")</f>
        <v>15.81</v>
      </c>
      <c r="I125" s="14" t="str">
        <f>IFERROR(VLOOKUP(B125,Orders!$A:$I,8,0),"")</f>
        <v>FOB Destination</v>
      </c>
      <c r="J125" s="16">
        <f t="shared" si="5"/>
        <v>45983</v>
      </c>
      <c r="K125" s="15">
        <f t="shared" si="4"/>
        <v>4521.66</v>
      </c>
      <c r="L125" s="14" t="str">
        <f>IF(H125="","Excluded - no order",IF(J125&lt;Assumptions!$B$3,"Pre-Q4",IF(J125&lt;=Assumptions!$B$4,"Q4 2025","Deferred Q1 2026")))</f>
        <v>Q4 2025</v>
      </c>
    </row>
    <row r="126" spans="1:12" ht="15" customHeight="1" x14ac:dyDescent="0.2">
      <c r="A126" s="14" t="s">
        <v>399</v>
      </c>
      <c r="B126" s="14" t="s">
        <v>400</v>
      </c>
      <c r="C126" s="18">
        <v>46018</v>
      </c>
      <c r="D126" s="18">
        <v>46019</v>
      </c>
      <c r="E126" s="14">
        <v>51</v>
      </c>
      <c r="F126" s="14" t="s">
        <v>100</v>
      </c>
      <c r="G126" s="14" t="s">
        <v>101</v>
      </c>
      <c r="H126" s="15">
        <f>IFERROR(VLOOKUP(B126,Orders!$A:$I,6,0),"")</f>
        <v>140.99</v>
      </c>
      <c r="I126" s="14" t="str">
        <f>IFERROR(VLOOKUP(B126,Orders!$A:$I,8,0),"")</f>
        <v>FOB Shipping Point</v>
      </c>
      <c r="J126" s="16">
        <f t="shared" si="5"/>
        <v>46018</v>
      </c>
      <c r="K126" s="15">
        <f t="shared" si="4"/>
        <v>7190.4900000000007</v>
      </c>
      <c r="L126" s="14" t="str">
        <f>IF(H126="","Excluded - no order",IF(J126&lt;Assumptions!$B$3,"Pre-Q4",IF(J126&lt;=Assumptions!$B$4,"Q4 2025","Deferred Q1 2026")))</f>
        <v>Q4 2025</v>
      </c>
    </row>
    <row r="127" spans="1:12" ht="15" customHeight="1" x14ac:dyDescent="0.2">
      <c r="A127" s="14" t="s">
        <v>401</v>
      </c>
      <c r="B127" s="14" t="s">
        <v>402</v>
      </c>
      <c r="C127" s="18">
        <v>45996</v>
      </c>
      <c r="D127" s="18">
        <v>45999</v>
      </c>
      <c r="E127" s="14">
        <v>103</v>
      </c>
      <c r="F127" s="14" t="s">
        <v>118</v>
      </c>
      <c r="G127" s="14" t="s">
        <v>119</v>
      </c>
      <c r="H127" s="15">
        <f>IFERROR(VLOOKUP(B127,Orders!$A:$I,6,0),"")</f>
        <v>75.83</v>
      </c>
      <c r="I127" s="14" t="str">
        <f>IFERROR(VLOOKUP(B127,Orders!$A:$I,8,0),"")</f>
        <v>FOB Destination</v>
      </c>
      <c r="J127" s="16">
        <f t="shared" si="5"/>
        <v>45999</v>
      </c>
      <c r="K127" s="15">
        <f t="shared" si="4"/>
        <v>7810.49</v>
      </c>
      <c r="L127" s="14" t="str">
        <f>IF(H127="","Excluded - no order",IF(J127&lt;Assumptions!$B$3,"Pre-Q4",IF(J127&lt;=Assumptions!$B$4,"Q4 2025","Deferred Q1 2026")))</f>
        <v>Q4 2025</v>
      </c>
    </row>
    <row r="128" spans="1:12" ht="15" customHeight="1" x14ac:dyDescent="0.2">
      <c r="A128" s="14" t="s">
        <v>403</v>
      </c>
      <c r="B128" s="14" t="s">
        <v>402</v>
      </c>
      <c r="C128" s="18">
        <v>45998</v>
      </c>
      <c r="D128" s="18">
        <v>46001</v>
      </c>
      <c r="E128" s="14">
        <v>62</v>
      </c>
      <c r="F128" s="14" t="s">
        <v>122</v>
      </c>
      <c r="G128" s="14" t="s">
        <v>123</v>
      </c>
      <c r="H128" s="15">
        <f>IFERROR(VLOOKUP(B128,Orders!$A:$I,6,0),"")</f>
        <v>75.83</v>
      </c>
      <c r="I128" s="14" t="str">
        <f>IFERROR(VLOOKUP(B128,Orders!$A:$I,8,0),"")</f>
        <v>FOB Destination</v>
      </c>
      <c r="J128" s="16">
        <f t="shared" si="5"/>
        <v>46001</v>
      </c>
      <c r="K128" s="15">
        <f t="shared" si="4"/>
        <v>4701.46</v>
      </c>
      <c r="L128" s="14" t="str">
        <f>IF(H128="","Excluded - no order",IF(J128&lt;Assumptions!$B$3,"Pre-Q4",IF(J128&lt;=Assumptions!$B$4,"Q4 2025","Deferred Q1 2026")))</f>
        <v>Q4 2025</v>
      </c>
    </row>
    <row r="129" spans="1:12" ht="15" customHeight="1" x14ac:dyDescent="0.2">
      <c r="A129" s="14" t="s">
        <v>404</v>
      </c>
      <c r="B129" s="14" t="s">
        <v>405</v>
      </c>
      <c r="C129" s="18">
        <v>46008</v>
      </c>
      <c r="D129" s="18">
        <v>46012</v>
      </c>
      <c r="E129" s="14">
        <v>1184</v>
      </c>
      <c r="F129" s="14" t="s">
        <v>112</v>
      </c>
      <c r="G129" s="14" t="s">
        <v>113</v>
      </c>
      <c r="H129" s="15">
        <f>IFERROR(VLOOKUP(B129,Orders!$A:$I,6,0),"")</f>
        <v>50.22</v>
      </c>
      <c r="I129" s="14" t="str">
        <f>IFERROR(VLOOKUP(B129,Orders!$A:$I,8,0),"")</f>
        <v>FOB Shipping Point</v>
      </c>
      <c r="J129" s="16">
        <f t="shared" si="5"/>
        <v>46008</v>
      </c>
      <c r="K129" s="15">
        <f t="shared" si="4"/>
        <v>59460.479999999996</v>
      </c>
      <c r="L129" s="14" t="str">
        <f>IF(H129="","Excluded - no order",IF(J129&lt;Assumptions!$B$3,"Pre-Q4",IF(J129&lt;=Assumptions!$B$4,"Q4 2025","Deferred Q1 2026")))</f>
        <v>Q4 2025</v>
      </c>
    </row>
    <row r="130" spans="1:12" ht="15" customHeight="1" x14ac:dyDescent="0.2">
      <c r="A130" s="14" t="s">
        <v>406</v>
      </c>
      <c r="B130" s="14" t="s">
        <v>407</v>
      </c>
      <c r="C130" s="18">
        <v>45939</v>
      </c>
      <c r="D130" s="18">
        <v>45940</v>
      </c>
      <c r="E130" s="14">
        <v>1644</v>
      </c>
      <c r="F130" s="14" t="s">
        <v>149</v>
      </c>
      <c r="G130" s="14" t="s">
        <v>150</v>
      </c>
      <c r="H130" s="15">
        <f>IFERROR(VLOOKUP(B130,Orders!$A:$I,6,0),"")</f>
        <v>138.58000000000001</v>
      </c>
      <c r="I130" s="14" t="str">
        <f>IFERROR(VLOOKUP(B130,Orders!$A:$I,8,0),"")</f>
        <v>FOB Shipping Point</v>
      </c>
      <c r="J130" s="16">
        <f t="shared" si="5"/>
        <v>45939</v>
      </c>
      <c r="K130" s="15">
        <f t="shared" ref="K130:K193" si="6">IF(H130="",0,E130*H130)</f>
        <v>227825.52000000002</v>
      </c>
      <c r="L130" s="14" t="str">
        <f>IF(H130="","Excluded - no order",IF(J130&lt;Assumptions!$B$3,"Pre-Q4",IF(J130&lt;=Assumptions!$B$4,"Q4 2025","Deferred Q1 2026")))</f>
        <v>Q4 2025</v>
      </c>
    </row>
    <row r="131" spans="1:12" ht="15" customHeight="1" x14ac:dyDescent="0.2">
      <c r="A131" s="14" t="s">
        <v>408</v>
      </c>
      <c r="B131" s="14" t="s">
        <v>409</v>
      </c>
      <c r="C131" s="18">
        <v>45997</v>
      </c>
      <c r="D131" s="18">
        <v>46002</v>
      </c>
      <c r="E131" s="14">
        <v>1106</v>
      </c>
      <c r="F131" s="14" t="s">
        <v>410</v>
      </c>
      <c r="G131" s="14" t="s">
        <v>411</v>
      </c>
      <c r="H131" s="15">
        <f>IFERROR(VLOOKUP(B131,Orders!$A:$I,6,0),"")</f>
        <v>376.2</v>
      </c>
      <c r="I131" s="14" t="str">
        <f>IFERROR(VLOOKUP(B131,Orders!$A:$I,8,0),"")</f>
        <v>FOB Shipping Point</v>
      </c>
      <c r="J131" s="16">
        <f t="shared" si="5"/>
        <v>45997</v>
      </c>
      <c r="K131" s="15">
        <f t="shared" si="6"/>
        <v>416077.2</v>
      </c>
      <c r="L131" s="14" t="str">
        <f>IF(H131="","Excluded - no order",IF(J131&lt;Assumptions!$B$3,"Pre-Q4",IF(J131&lt;=Assumptions!$B$4,"Q4 2025","Deferred Q1 2026")))</f>
        <v>Q4 2025</v>
      </c>
    </row>
    <row r="132" spans="1:12" ht="15" customHeight="1" x14ac:dyDescent="0.2">
      <c r="A132" s="14" t="s">
        <v>412</v>
      </c>
      <c r="B132" s="14" t="s">
        <v>413</v>
      </c>
      <c r="C132" s="18">
        <v>45972</v>
      </c>
      <c r="D132" s="18">
        <v>45977</v>
      </c>
      <c r="E132" s="14">
        <v>1117</v>
      </c>
      <c r="F132" s="14" t="s">
        <v>414</v>
      </c>
      <c r="G132" s="14" t="s">
        <v>415</v>
      </c>
      <c r="H132" s="15">
        <f>IFERROR(VLOOKUP(B132,Orders!$A:$I,6,0),"")</f>
        <v>256.89</v>
      </c>
      <c r="I132" s="14" t="str">
        <f>IFERROR(VLOOKUP(B132,Orders!$A:$I,8,0),"")</f>
        <v>FOB Shipping Point</v>
      </c>
      <c r="J132" s="16">
        <f t="shared" si="5"/>
        <v>45972</v>
      </c>
      <c r="K132" s="15">
        <f t="shared" si="6"/>
        <v>286946.13</v>
      </c>
      <c r="L132" s="14" t="str">
        <f>IF(H132="","Excluded - no order",IF(J132&lt;Assumptions!$B$3,"Pre-Q4",IF(J132&lt;=Assumptions!$B$4,"Q4 2025","Deferred Q1 2026")))</f>
        <v>Q4 2025</v>
      </c>
    </row>
    <row r="133" spans="1:12" ht="15" customHeight="1" x14ac:dyDescent="0.2">
      <c r="A133" s="14" t="s">
        <v>416</v>
      </c>
      <c r="B133" s="14" t="s">
        <v>417</v>
      </c>
      <c r="C133" s="18">
        <v>45994</v>
      </c>
      <c r="D133" s="18">
        <v>45995</v>
      </c>
      <c r="E133" s="14">
        <v>153</v>
      </c>
      <c r="F133" s="14" t="s">
        <v>418</v>
      </c>
      <c r="G133" s="14" t="s">
        <v>419</v>
      </c>
      <c r="H133" s="15">
        <f>IFERROR(VLOOKUP(B133,Orders!$A:$I,6,0),"")</f>
        <v>168.93</v>
      </c>
      <c r="I133" s="14" t="str">
        <f>IFERROR(VLOOKUP(B133,Orders!$A:$I,8,0),"")</f>
        <v>FOB Shipping Point</v>
      </c>
      <c r="J133" s="16">
        <f t="shared" si="5"/>
        <v>45994</v>
      </c>
      <c r="K133" s="15">
        <f t="shared" si="6"/>
        <v>25846.29</v>
      </c>
      <c r="L133" s="14" t="str">
        <f>IF(H133="","Excluded - no order",IF(J133&lt;Assumptions!$B$3,"Pre-Q4",IF(J133&lt;=Assumptions!$B$4,"Q4 2025","Deferred Q1 2026")))</f>
        <v>Q4 2025</v>
      </c>
    </row>
    <row r="134" spans="1:12" ht="15" customHeight="1" x14ac:dyDescent="0.2">
      <c r="A134" s="14" t="s">
        <v>420</v>
      </c>
      <c r="B134" s="14" t="s">
        <v>421</v>
      </c>
      <c r="C134" s="18">
        <v>46016</v>
      </c>
      <c r="D134" s="18">
        <v>46022</v>
      </c>
      <c r="E134" s="14">
        <v>1341</v>
      </c>
      <c r="F134" s="14" t="s">
        <v>73</v>
      </c>
      <c r="G134" s="14" t="s">
        <v>74</v>
      </c>
      <c r="H134" s="15">
        <f>IFERROR(VLOOKUP(B134,Orders!$A:$I,6,0),"")</f>
        <v>380.39</v>
      </c>
      <c r="I134" s="14" t="str">
        <f>IFERROR(VLOOKUP(B134,Orders!$A:$I,8,0),"")</f>
        <v>FOB Destination</v>
      </c>
      <c r="J134" s="16">
        <f t="shared" si="5"/>
        <v>46022</v>
      </c>
      <c r="K134" s="15">
        <f t="shared" si="6"/>
        <v>510102.99</v>
      </c>
      <c r="L134" s="14" t="str">
        <f>IF(H134="","Excluded - no order",IF(J134&lt;Assumptions!$B$3,"Pre-Q4",IF(J134&lt;=Assumptions!$B$4,"Q4 2025","Deferred Q1 2026")))</f>
        <v>Q4 2025</v>
      </c>
    </row>
    <row r="135" spans="1:12" ht="15" customHeight="1" x14ac:dyDescent="0.2">
      <c r="A135" s="14" t="s">
        <v>422</v>
      </c>
      <c r="B135" s="14" t="s">
        <v>421</v>
      </c>
      <c r="C135" s="18">
        <v>46018</v>
      </c>
      <c r="D135" s="18">
        <v>46022</v>
      </c>
      <c r="E135" s="14">
        <v>582</v>
      </c>
      <c r="F135" s="14" t="s">
        <v>100</v>
      </c>
      <c r="G135" s="14" t="s">
        <v>101</v>
      </c>
      <c r="H135" s="15">
        <f>IFERROR(VLOOKUP(B135,Orders!$A:$I,6,0),"")</f>
        <v>380.39</v>
      </c>
      <c r="I135" s="14" t="str">
        <f>IFERROR(VLOOKUP(B135,Orders!$A:$I,8,0),"")</f>
        <v>FOB Destination</v>
      </c>
      <c r="J135" s="16">
        <f t="shared" ref="J135:J198" si="7">IF(I135="","",IF(I135="FOB Shipping Point",C135,D135))</f>
        <v>46022</v>
      </c>
      <c r="K135" s="15">
        <f t="shared" si="6"/>
        <v>221386.97999999998</v>
      </c>
      <c r="L135" s="14" t="str">
        <f>IF(H135="","Excluded - no order",IF(J135&lt;Assumptions!$B$3,"Pre-Q4",IF(J135&lt;=Assumptions!$B$4,"Q4 2025","Deferred Q1 2026")))</f>
        <v>Q4 2025</v>
      </c>
    </row>
    <row r="136" spans="1:12" ht="15" customHeight="1" x14ac:dyDescent="0.2">
      <c r="A136" s="14" t="s">
        <v>423</v>
      </c>
      <c r="B136" s="14" t="s">
        <v>424</v>
      </c>
      <c r="C136" s="18">
        <v>46014</v>
      </c>
      <c r="D136" s="18">
        <v>46019</v>
      </c>
      <c r="E136" s="14">
        <v>401</v>
      </c>
      <c r="F136" s="14" t="s">
        <v>425</v>
      </c>
      <c r="G136" s="14" t="s">
        <v>426</v>
      </c>
      <c r="H136" s="15">
        <f>IFERROR(VLOOKUP(B136,Orders!$A:$I,6,0),"")</f>
        <v>247.94</v>
      </c>
      <c r="I136" s="14" t="str">
        <f>IFERROR(VLOOKUP(B136,Orders!$A:$I,8,0),"")</f>
        <v>FOB Shipping Point</v>
      </c>
      <c r="J136" s="16">
        <f t="shared" si="7"/>
        <v>46014</v>
      </c>
      <c r="K136" s="15">
        <f t="shared" si="6"/>
        <v>99423.94</v>
      </c>
      <c r="L136" s="14" t="str">
        <f>IF(H136="","Excluded - no order",IF(J136&lt;Assumptions!$B$3,"Pre-Q4",IF(J136&lt;=Assumptions!$B$4,"Q4 2025","Deferred Q1 2026")))</f>
        <v>Q4 2025</v>
      </c>
    </row>
    <row r="137" spans="1:12" ht="15" customHeight="1" x14ac:dyDescent="0.2">
      <c r="A137" s="14" t="s">
        <v>427</v>
      </c>
      <c r="B137" s="14" t="s">
        <v>428</v>
      </c>
      <c r="C137" s="18">
        <v>45961</v>
      </c>
      <c r="D137" s="18">
        <v>45964</v>
      </c>
      <c r="E137" s="14">
        <v>866</v>
      </c>
      <c r="F137" s="14" t="s">
        <v>429</v>
      </c>
      <c r="G137" s="14" t="s">
        <v>430</v>
      </c>
      <c r="H137" s="15">
        <f>IFERROR(VLOOKUP(B137,Orders!$A:$I,6,0),"")</f>
        <v>281.27999999999997</v>
      </c>
      <c r="I137" s="14" t="str">
        <f>IFERROR(VLOOKUP(B137,Orders!$A:$I,8,0),"")</f>
        <v>FOB Shipping Point</v>
      </c>
      <c r="J137" s="16">
        <f t="shared" si="7"/>
        <v>45961</v>
      </c>
      <c r="K137" s="15">
        <f t="shared" si="6"/>
        <v>243588.47999999998</v>
      </c>
      <c r="L137" s="14" t="str">
        <f>IF(H137="","Excluded - no order",IF(J137&lt;Assumptions!$B$3,"Pre-Q4",IF(J137&lt;=Assumptions!$B$4,"Q4 2025","Deferred Q1 2026")))</f>
        <v>Q4 2025</v>
      </c>
    </row>
    <row r="138" spans="1:12" ht="15" customHeight="1" x14ac:dyDescent="0.2">
      <c r="A138" s="14" t="s">
        <v>431</v>
      </c>
      <c r="B138" s="14" t="s">
        <v>432</v>
      </c>
      <c r="C138" s="18">
        <v>45971</v>
      </c>
      <c r="D138" s="18">
        <v>45972</v>
      </c>
      <c r="E138" s="14">
        <v>870</v>
      </c>
      <c r="F138" s="14" t="s">
        <v>77</v>
      </c>
      <c r="G138" s="14" t="s">
        <v>78</v>
      </c>
      <c r="H138" s="15">
        <f>IFERROR(VLOOKUP(B138,Orders!$A:$I,6,0),"")</f>
        <v>5.41</v>
      </c>
      <c r="I138" s="14" t="str">
        <f>IFERROR(VLOOKUP(B138,Orders!$A:$I,8,0),"")</f>
        <v>FOB Destination</v>
      </c>
      <c r="J138" s="16">
        <f t="shared" si="7"/>
        <v>45972</v>
      </c>
      <c r="K138" s="15">
        <f t="shared" si="6"/>
        <v>4706.7</v>
      </c>
      <c r="L138" s="14" t="str">
        <f>IF(H138="","Excluded - no order",IF(J138&lt;Assumptions!$B$3,"Pre-Q4",IF(J138&lt;=Assumptions!$B$4,"Q4 2025","Deferred Q1 2026")))</f>
        <v>Q4 2025</v>
      </c>
    </row>
    <row r="139" spans="1:12" ht="15" customHeight="1" x14ac:dyDescent="0.2">
      <c r="A139" s="14" t="s">
        <v>433</v>
      </c>
      <c r="B139" s="14" t="s">
        <v>434</v>
      </c>
      <c r="C139" s="18">
        <v>46005</v>
      </c>
      <c r="D139" s="18">
        <v>46011</v>
      </c>
      <c r="E139" s="14">
        <v>1995</v>
      </c>
      <c r="F139" s="14" t="s">
        <v>122</v>
      </c>
      <c r="G139" s="14" t="s">
        <v>123</v>
      </c>
      <c r="H139" s="15">
        <f>IFERROR(VLOOKUP(B139,Orders!$A:$I,6,0),"")</f>
        <v>187.3</v>
      </c>
      <c r="I139" s="14" t="str">
        <f>IFERROR(VLOOKUP(B139,Orders!$A:$I,8,0),"")</f>
        <v>FOB Destination</v>
      </c>
      <c r="J139" s="16">
        <f t="shared" si="7"/>
        <v>46011</v>
      </c>
      <c r="K139" s="15">
        <f t="shared" si="6"/>
        <v>373663.5</v>
      </c>
      <c r="L139" s="14" t="str">
        <f>IF(H139="","Excluded - no order",IF(J139&lt;Assumptions!$B$3,"Pre-Q4",IF(J139&lt;=Assumptions!$B$4,"Q4 2025","Deferred Q1 2026")))</f>
        <v>Q4 2025</v>
      </c>
    </row>
    <row r="140" spans="1:12" ht="15" customHeight="1" x14ac:dyDescent="0.2">
      <c r="A140" s="14" t="s">
        <v>435</v>
      </c>
      <c r="B140" s="14" t="s">
        <v>436</v>
      </c>
      <c r="C140" s="18">
        <v>45994</v>
      </c>
      <c r="D140" s="18">
        <v>45998</v>
      </c>
      <c r="E140" s="14">
        <v>1403</v>
      </c>
      <c r="F140" s="14" t="s">
        <v>118</v>
      </c>
      <c r="G140" s="14" t="s">
        <v>119</v>
      </c>
      <c r="H140" s="15">
        <f>IFERROR(VLOOKUP(B140,Orders!$A:$I,6,0),"")</f>
        <v>32.76</v>
      </c>
      <c r="I140" s="14" t="str">
        <f>IFERROR(VLOOKUP(B140,Orders!$A:$I,8,0),"")</f>
        <v>FOB Shipping Point</v>
      </c>
      <c r="J140" s="16">
        <f t="shared" si="7"/>
        <v>45994</v>
      </c>
      <c r="K140" s="15">
        <f t="shared" si="6"/>
        <v>45962.28</v>
      </c>
      <c r="L140" s="14" t="str">
        <f>IF(H140="","Excluded - no order",IF(J140&lt;Assumptions!$B$3,"Pre-Q4",IF(J140&lt;=Assumptions!$B$4,"Q4 2025","Deferred Q1 2026")))</f>
        <v>Q4 2025</v>
      </c>
    </row>
    <row r="141" spans="1:12" ht="15" customHeight="1" x14ac:dyDescent="0.2">
      <c r="A141" s="14" t="s">
        <v>437</v>
      </c>
      <c r="B141" s="14" t="s">
        <v>438</v>
      </c>
      <c r="C141" s="18">
        <v>45955</v>
      </c>
      <c r="D141" s="18">
        <v>45957</v>
      </c>
      <c r="E141" s="14">
        <v>1972</v>
      </c>
      <c r="F141" s="14" t="s">
        <v>77</v>
      </c>
      <c r="G141" s="14" t="s">
        <v>78</v>
      </c>
      <c r="H141" s="15">
        <f>IFERROR(VLOOKUP(B141,Orders!$A:$I,6,0),"")</f>
        <v>255.23</v>
      </c>
      <c r="I141" s="14" t="str">
        <f>IFERROR(VLOOKUP(B141,Orders!$A:$I,8,0),"")</f>
        <v>FOB Shipping Point</v>
      </c>
      <c r="J141" s="16">
        <f t="shared" si="7"/>
        <v>45955</v>
      </c>
      <c r="K141" s="15">
        <f t="shared" si="6"/>
        <v>503313.56</v>
      </c>
      <c r="L141" s="14" t="str">
        <f>IF(H141="","Excluded - no order",IF(J141&lt;Assumptions!$B$3,"Pre-Q4",IF(J141&lt;=Assumptions!$B$4,"Q4 2025","Deferred Q1 2026")))</f>
        <v>Q4 2025</v>
      </c>
    </row>
    <row r="142" spans="1:12" ht="15" customHeight="1" x14ac:dyDescent="0.2">
      <c r="A142" s="14" t="s">
        <v>439</v>
      </c>
      <c r="B142" s="14" t="s">
        <v>440</v>
      </c>
      <c r="C142" s="18">
        <v>45980</v>
      </c>
      <c r="D142" s="18">
        <v>45986</v>
      </c>
      <c r="E142" s="14">
        <v>119</v>
      </c>
      <c r="F142" s="14" t="s">
        <v>122</v>
      </c>
      <c r="G142" s="14" t="s">
        <v>123</v>
      </c>
      <c r="H142" s="15">
        <f>IFERROR(VLOOKUP(B142,Orders!$A:$I,6,0),"")</f>
        <v>361.93</v>
      </c>
      <c r="I142" s="14" t="str">
        <f>IFERROR(VLOOKUP(B142,Orders!$A:$I,8,0),"")</f>
        <v>FOB Destination</v>
      </c>
      <c r="J142" s="16">
        <f t="shared" si="7"/>
        <v>45986</v>
      </c>
      <c r="K142" s="15">
        <f t="shared" si="6"/>
        <v>43069.67</v>
      </c>
      <c r="L142" s="14" t="str">
        <f>IF(H142="","Excluded - no order",IF(J142&lt;Assumptions!$B$3,"Pre-Q4",IF(J142&lt;=Assumptions!$B$4,"Q4 2025","Deferred Q1 2026")))</f>
        <v>Q4 2025</v>
      </c>
    </row>
    <row r="143" spans="1:12" ht="15" customHeight="1" x14ac:dyDescent="0.2">
      <c r="A143" s="14" t="s">
        <v>441</v>
      </c>
      <c r="B143" s="14" t="s">
        <v>442</v>
      </c>
      <c r="C143" s="18">
        <v>45945</v>
      </c>
      <c r="D143" s="18">
        <v>45948</v>
      </c>
      <c r="E143" s="14">
        <v>479</v>
      </c>
      <c r="F143" s="14" t="s">
        <v>149</v>
      </c>
      <c r="G143" s="14" t="s">
        <v>150</v>
      </c>
      <c r="H143" s="15">
        <f>IFERROR(VLOOKUP(B143,Orders!$A:$I,6,0),"")</f>
        <v>30.4</v>
      </c>
      <c r="I143" s="14" t="str">
        <f>IFERROR(VLOOKUP(B143,Orders!$A:$I,8,0),"")</f>
        <v>FOB Shipping Point</v>
      </c>
      <c r="J143" s="16">
        <f t="shared" si="7"/>
        <v>45945</v>
      </c>
      <c r="K143" s="15">
        <f t="shared" si="6"/>
        <v>14561.599999999999</v>
      </c>
      <c r="L143" s="14" t="str">
        <f>IF(H143="","Excluded - no order",IF(J143&lt;Assumptions!$B$3,"Pre-Q4",IF(J143&lt;=Assumptions!$B$4,"Q4 2025","Deferred Q1 2026")))</f>
        <v>Q4 2025</v>
      </c>
    </row>
    <row r="144" spans="1:12" ht="15" customHeight="1" x14ac:dyDescent="0.2">
      <c r="A144" s="14" t="s">
        <v>443</v>
      </c>
      <c r="B144" s="14" t="s">
        <v>442</v>
      </c>
      <c r="C144" s="18">
        <v>45947</v>
      </c>
      <c r="D144" s="18">
        <v>45950</v>
      </c>
      <c r="E144" s="14">
        <v>339</v>
      </c>
      <c r="F144" s="14" t="s">
        <v>73</v>
      </c>
      <c r="G144" s="14" t="s">
        <v>74</v>
      </c>
      <c r="H144" s="15">
        <f>IFERROR(VLOOKUP(B144,Orders!$A:$I,6,0),"")</f>
        <v>30.4</v>
      </c>
      <c r="I144" s="14" t="str">
        <f>IFERROR(VLOOKUP(B144,Orders!$A:$I,8,0),"")</f>
        <v>FOB Shipping Point</v>
      </c>
      <c r="J144" s="16">
        <f t="shared" si="7"/>
        <v>45947</v>
      </c>
      <c r="K144" s="15">
        <f t="shared" si="6"/>
        <v>10305.6</v>
      </c>
      <c r="L144" s="14" t="str">
        <f>IF(H144="","Excluded - no order",IF(J144&lt;Assumptions!$B$3,"Pre-Q4",IF(J144&lt;=Assumptions!$B$4,"Q4 2025","Deferred Q1 2026")))</f>
        <v>Q4 2025</v>
      </c>
    </row>
    <row r="145" spans="1:12" ht="15" customHeight="1" x14ac:dyDescent="0.2">
      <c r="A145" s="14" t="s">
        <v>444</v>
      </c>
      <c r="B145" s="14" t="s">
        <v>445</v>
      </c>
      <c r="C145" s="18">
        <v>45983</v>
      </c>
      <c r="D145" s="18">
        <v>45987</v>
      </c>
      <c r="E145" s="14">
        <v>1525</v>
      </c>
      <c r="F145" s="14" t="s">
        <v>446</v>
      </c>
      <c r="G145" s="14" t="s">
        <v>447</v>
      </c>
      <c r="H145" s="15">
        <f>IFERROR(VLOOKUP(B145,Orders!$A:$I,6,0),"")</f>
        <v>379.92</v>
      </c>
      <c r="I145" s="14" t="str">
        <f>IFERROR(VLOOKUP(B145,Orders!$A:$I,8,0),"")</f>
        <v>FOB Destination</v>
      </c>
      <c r="J145" s="16">
        <f t="shared" si="7"/>
        <v>45987</v>
      </c>
      <c r="K145" s="15">
        <f t="shared" si="6"/>
        <v>579378</v>
      </c>
      <c r="L145" s="14" t="str">
        <f>IF(H145="","Excluded - no order",IF(J145&lt;Assumptions!$B$3,"Pre-Q4",IF(J145&lt;=Assumptions!$B$4,"Q4 2025","Deferred Q1 2026")))</f>
        <v>Q4 2025</v>
      </c>
    </row>
    <row r="146" spans="1:12" ht="15" customHeight="1" x14ac:dyDescent="0.2">
      <c r="A146" s="14" t="s">
        <v>448</v>
      </c>
      <c r="B146" s="14" t="s">
        <v>449</v>
      </c>
      <c r="C146" s="18">
        <v>46018</v>
      </c>
      <c r="D146" s="18">
        <v>46022</v>
      </c>
      <c r="E146" s="14">
        <v>1241</v>
      </c>
      <c r="F146" s="14" t="s">
        <v>77</v>
      </c>
      <c r="G146" s="14" t="s">
        <v>78</v>
      </c>
      <c r="H146" s="15">
        <f>IFERROR(VLOOKUP(B146,Orders!$A:$I,6,0),"")</f>
        <v>411.7</v>
      </c>
      <c r="I146" s="14" t="str">
        <f>IFERROR(VLOOKUP(B146,Orders!$A:$I,8,0),"")</f>
        <v>FOB Destination</v>
      </c>
      <c r="J146" s="16">
        <f t="shared" si="7"/>
        <v>46022</v>
      </c>
      <c r="K146" s="15">
        <f t="shared" si="6"/>
        <v>510919.7</v>
      </c>
      <c r="L146" s="14" t="str">
        <f>IF(H146="","Excluded - no order",IF(J146&lt;Assumptions!$B$3,"Pre-Q4",IF(J146&lt;=Assumptions!$B$4,"Q4 2025","Deferred Q1 2026")))</f>
        <v>Q4 2025</v>
      </c>
    </row>
    <row r="147" spans="1:12" ht="15" customHeight="1" x14ac:dyDescent="0.2">
      <c r="A147" s="14" t="s">
        <v>450</v>
      </c>
      <c r="B147" s="14" t="s">
        <v>451</v>
      </c>
      <c r="C147" s="18">
        <v>46000</v>
      </c>
      <c r="D147" s="18">
        <v>46001</v>
      </c>
      <c r="E147" s="14">
        <v>1705</v>
      </c>
      <c r="F147" s="14" t="s">
        <v>77</v>
      </c>
      <c r="G147" s="14" t="s">
        <v>78</v>
      </c>
      <c r="H147" s="15">
        <f>IFERROR(VLOOKUP(B147,Orders!$A:$I,6,0),"")</f>
        <v>448.1</v>
      </c>
      <c r="I147" s="14" t="str">
        <f>IFERROR(VLOOKUP(B147,Orders!$A:$I,8,0),"")</f>
        <v>FOB Shipping Point</v>
      </c>
      <c r="J147" s="16">
        <f t="shared" si="7"/>
        <v>46000</v>
      </c>
      <c r="K147" s="15">
        <f t="shared" si="6"/>
        <v>764010.5</v>
      </c>
      <c r="L147" s="14" t="str">
        <f>IF(H147="","Excluded - no order",IF(J147&lt;Assumptions!$B$3,"Pre-Q4",IF(J147&lt;=Assumptions!$B$4,"Q4 2025","Deferred Q1 2026")))</f>
        <v>Q4 2025</v>
      </c>
    </row>
    <row r="148" spans="1:12" ht="15" customHeight="1" x14ac:dyDescent="0.2">
      <c r="A148" s="14" t="s">
        <v>452</v>
      </c>
      <c r="B148" s="14" t="s">
        <v>453</v>
      </c>
      <c r="C148" s="18">
        <v>45967</v>
      </c>
      <c r="D148" s="18">
        <v>45973</v>
      </c>
      <c r="E148" s="14">
        <v>1276</v>
      </c>
      <c r="F148" s="14" t="s">
        <v>454</v>
      </c>
      <c r="G148" s="14" t="s">
        <v>455</v>
      </c>
      <c r="H148" s="15">
        <f>IFERROR(VLOOKUP(B148,Orders!$A:$I,6,0),"")</f>
        <v>212.48</v>
      </c>
      <c r="I148" s="14" t="str">
        <f>IFERROR(VLOOKUP(B148,Orders!$A:$I,8,0),"")</f>
        <v>FOB Shipping Point</v>
      </c>
      <c r="J148" s="16">
        <f t="shared" si="7"/>
        <v>45967</v>
      </c>
      <c r="K148" s="15">
        <f t="shared" si="6"/>
        <v>271124.47999999998</v>
      </c>
      <c r="L148" s="14" t="str">
        <f>IF(H148="","Excluded - no order",IF(J148&lt;Assumptions!$B$3,"Pre-Q4",IF(J148&lt;=Assumptions!$B$4,"Q4 2025","Deferred Q1 2026")))</f>
        <v>Q4 2025</v>
      </c>
    </row>
    <row r="149" spans="1:12" ht="15" customHeight="1" x14ac:dyDescent="0.2">
      <c r="A149" s="14" t="s">
        <v>456</v>
      </c>
      <c r="B149" s="14" t="s">
        <v>453</v>
      </c>
      <c r="C149" s="18">
        <v>45969</v>
      </c>
      <c r="D149" s="18">
        <v>45975</v>
      </c>
      <c r="E149" s="14">
        <v>341</v>
      </c>
      <c r="F149" s="14" t="s">
        <v>457</v>
      </c>
      <c r="G149" s="14" t="s">
        <v>458</v>
      </c>
      <c r="H149" s="15">
        <f>IFERROR(VLOOKUP(B149,Orders!$A:$I,6,0),"")</f>
        <v>212.48</v>
      </c>
      <c r="I149" s="14" t="str">
        <f>IFERROR(VLOOKUP(B149,Orders!$A:$I,8,0),"")</f>
        <v>FOB Shipping Point</v>
      </c>
      <c r="J149" s="16">
        <f t="shared" si="7"/>
        <v>45969</v>
      </c>
      <c r="K149" s="15">
        <f t="shared" si="6"/>
        <v>72455.679999999993</v>
      </c>
      <c r="L149" s="14" t="str">
        <f>IF(H149="","Excluded - no order",IF(J149&lt;Assumptions!$B$3,"Pre-Q4",IF(J149&lt;=Assumptions!$B$4,"Q4 2025","Deferred Q1 2026")))</f>
        <v>Q4 2025</v>
      </c>
    </row>
    <row r="150" spans="1:12" ht="15" customHeight="1" x14ac:dyDescent="0.2">
      <c r="A150" s="14" t="s">
        <v>459</v>
      </c>
      <c r="B150" s="14" t="s">
        <v>460</v>
      </c>
      <c r="C150" s="18">
        <v>46016</v>
      </c>
      <c r="D150" s="18">
        <v>46020</v>
      </c>
      <c r="E150" s="14">
        <v>1006</v>
      </c>
      <c r="F150" s="14" t="s">
        <v>149</v>
      </c>
      <c r="G150" s="14" t="s">
        <v>150</v>
      </c>
      <c r="H150" s="15">
        <f>IFERROR(VLOOKUP(B150,Orders!$A:$I,6,0),"")</f>
        <v>184.72</v>
      </c>
      <c r="I150" s="14" t="str">
        <f>IFERROR(VLOOKUP(B150,Orders!$A:$I,8,0),"")</f>
        <v>FOB Shipping Point</v>
      </c>
      <c r="J150" s="16">
        <f t="shared" si="7"/>
        <v>46016</v>
      </c>
      <c r="K150" s="15">
        <f t="shared" si="6"/>
        <v>185828.32</v>
      </c>
      <c r="L150" s="14" t="str">
        <f>IF(H150="","Excluded - no order",IF(J150&lt;Assumptions!$B$3,"Pre-Q4",IF(J150&lt;=Assumptions!$B$4,"Q4 2025","Deferred Q1 2026")))</f>
        <v>Q4 2025</v>
      </c>
    </row>
    <row r="151" spans="1:12" ht="15" customHeight="1" x14ac:dyDescent="0.2">
      <c r="A151" s="14" t="s">
        <v>461</v>
      </c>
      <c r="B151" s="14" t="s">
        <v>462</v>
      </c>
      <c r="C151" s="18">
        <v>46001</v>
      </c>
      <c r="D151" s="18">
        <v>46007</v>
      </c>
      <c r="E151" s="14">
        <v>473</v>
      </c>
      <c r="F151" s="14" t="s">
        <v>77</v>
      </c>
      <c r="G151" s="14" t="s">
        <v>78</v>
      </c>
      <c r="H151" s="15">
        <f>IFERROR(VLOOKUP(B151,Orders!$A:$I,6,0),"")</f>
        <v>475.07</v>
      </c>
      <c r="I151" s="14" t="str">
        <f>IFERROR(VLOOKUP(B151,Orders!$A:$I,8,0),"")</f>
        <v>FOB Shipping Point</v>
      </c>
      <c r="J151" s="16">
        <f t="shared" si="7"/>
        <v>46001</v>
      </c>
      <c r="K151" s="15">
        <f t="shared" si="6"/>
        <v>224708.11</v>
      </c>
      <c r="L151" s="14" t="str">
        <f>IF(H151="","Excluded - no order",IF(J151&lt;Assumptions!$B$3,"Pre-Q4",IF(J151&lt;=Assumptions!$B$4,"Q4 2025","Deferred Q1 2026")))</f>
        <v>Q4 2025</v>
      </c>
    </row>
    <row r="152" spans="1:12" ht="15" customHeight="1" x14ac:dyDescent="0.2">
      <c r="A152" s="14" t="s">
        <v>463</v>
      </c>
      <c r="B152" s="14" t="s">
        <v>464</v>
      </c>
      <c r="C152" s="18">
        <v>45965</v>
      </c>
      <c r="D152" s="18">
        <v>45970</v>
      </c>
      <c r="E152" s="14">
        <v>531</v>
      </c>
      <c r="F152" s="14" t="s">
        <v>77</v>
      </c>
      <c r="G152" s="14" t="s">
        <v>78</v>
      </c>
      <c r="H152" s="15">
        <f>IFERROR(VLOOKUP(B152,Orders!$A:$I,6,0),"")</f>
        <v>486.24</v>
      </c>
      <c r="I152" s="14" t="str">
        <f>IFERROR(VLOOKUP(B152,Orders!$A:$I,8,0),"")</f>
        <v>FOB Shipping Point</v>
      </c>
      <c r="J152" s="16">
        <f t="shared" si="7"/>
        <v>45965</v>
      </c>
      <c r="K152" s="15">
        <f t="shared" si="6"/>
        <v>258193.44</v>
      </c>
      <c r="L152" s="14" t="str">
        <f>IF(H152="","Excluded - no order",IF(J152&lt;Assumptions!$B$3,"Pre-Q4",IF(J152&lt;=Assumptions!$B$4,"Q4 2025","Deferred Q1 2026")))</f>
        <v>Q4 2025</v>
      </c>
    </row>
    <row r="153" spans="1:12" ht="15" customHeight="1" x14ac:dyDescent="0.2">
      <c r="A153" s="14" t="s">
        <v>465</v>
      </c>
      <c r="B153" s="14" t="s">
        <v>464</v>
      </c>
      <c r="C153" s="18">
        <v>45967</v>
      </c>
      <c r="D153" s="18">
        <v>45972</v>
      </c>
      <c r="E153" s="14">
        <v>338</v>
      </c>
      <c r="F153" s="14" t="s">
        <v>77</v>
      </c>
      <c r="G153" s="14" t="s">
        <v>78</v>
      </c>
      <c r="H153" s="15">
        <f>IFERROR(VLOOKUP(B153,Orders!$A:$I,6,0),"")</f>
        <v>486.24</v>
      </c>
      <c r="I153" s="14" t="str">
        <f>IFERROR(VLOOKUP(B153,Orders!$A:$I,8,0),"")</f>
        <v>FOB Shipping Point</v>
      </c>
      <c r="J153" s="16">
        <f t="shared" si="7"/>
        <v>45967</v>
      </c>
      <c r="K153" s="15">
        <f t="shared" si="6"/>
        <v>164349.12</v>
      </c>
      <c r="L153" s="14" t="str">
        <f>IF(H153="","Excluded - no order",IF(J153&lt;Assumptions!$B$3,"Pre-Q4",IF(J153&lt;=Assumptions!$B$4,"Q4 2025","Deferred Q1 2026")))</f>
        <v>Q4 2025</v>
      </c>
    </row>
    <row r="154" spans="1:12" ht="15" customHeight="1" x14ac:dyDescent="0.2">
      <c r="A154" s="14" t="s">
        <v>466</v>
      </c>
      <c r="B154" s="14" t="s">
        <v>467</v>
      </c>
      <c r="C154" s="18">
        <v>46006</v>
      </c>
      <c r="D154" s="18">
        <v>46010</v>
      </c>
      <c r="E154" s="14">
        <v>247</v>
      </c>
      <c r="F154" s="14" t="s">
        <v>112</v>
      </c>
      <c r="G154" s="14" t="s">
        <v>113</v>
      </c>
      <c r="H154" s="15">
        <f>IFERROR(VLOOKUP(B154,Orders!$A:$I,6,0),"")</f>
        <v>358.94</v>
      </c>
      <c r="I154" s="14" t="str">
        <f>IFERROR(VLOOKUP(B154,Orders!$A:$I,8,0),"")</f>
        <v>FOB Shipping Point</v>
      </c>
      <c r="J154" s="16">
        <f t="shared" si="7"/>
        <v>46006</v>
      </c>
      <c r="K154" s="15">
        <f t="shared" si="6"/>
        <v>88658.18</v>
      </c>
      <c r="L154" s="14" t="str">
        <f>IF(H154="","Excluded - no order",IF(J154&lt;Assumptions!$B$3,"Pre-Q4",IF(J154&lt;=Assumptions!$B$4,"Q4 2025","Deferred Q1 2026")))</f>
        <v>Q4 2025</v>
      </c>
    </row>
    <row r="155" spans="1:12" ht="15" customHeight="1" x14ac:dyDescent="0.2">
      <c r="A155" s="14" t="s">
        <v>468</v>
      </c>
      <c r="B155" s="14" t="s">
        <v>467</v>
      </c>
      <c r="C155" s="18">
        <v>46008</v>
      </c>
      <c r="D155" s="18">
        <v>46012</v>
      </c>
      <c r="E155" s="14">
        <v>280</v>
      </c>
      <c r="F155" s="14" t="s">
        <v>118</v>
      </c>
      <c r="G155" s="14" t="s">
        <v>119</v>
      </c>
      <c r="H155" s="15">
        <f>IFERROR(VLOOKUP(B155,Orders!$A:$I,6,0),"")</f>
        <v>358.94</v>
      </c>
      <c r="I155" s="14" t="str">
        <f>IFERROR(VLOOKUP(B155,Orders!$A:$I,8,0),"")</f>
        <v>FOB Shipping Point</v>
      </c>
      <c r="J155" s="16">
        <f t="shared" si="7"/>
        <v>46008</v>
      </c>
      <c r="K155" s="15">
        <f t="shared" si="6"/>
        <v>100503.2</v>
      </c>
      <c r="L155" s="14" t="str">
        <f>IF(H155="","Excluded - no order",IF(J155&lt;Assumptions!$B$3,"Pre-Q4",IF(J155&lt;=Assumptions!$B$4,"Q4 2025","Deferred Q1 2026")))</f>
        <v>Q4 2025</v>
      </c>
    </row>
    <row r="156" spans="1:12" ht="15" customHeight="1" x14ac:dyDescent="0.2">
      <c r="A156" s="14" t="s">
        <v>469</v>
      </c>
      <c r="B156" s="14" t="s">
        <v>470</v>
      </c>
      <c r="C156" s="18">
        <v>45998</v>
      </c>
      <c r="D156" s="18">
        <v>46004</v>
      </c>
      <c r="E156" s="14">
        <v>823</v>
      </c>
      <c r="F156" s="14" t="s">
        <v>77</v>
      </c>
      <c r="G156" s="14" t="s">
        <v>78</v>
      </c>
      <c r="H156" s="15">
        <f>IFERROR(VLOOKUP(B156,Orders!$A:$I,6,0),"")</f>
        <v>151.55000000000001</v>
      </c>
      <c r="I156" s="14" t="str">
        <f>IFERROR(VLOOKUP(B156,Orders!$A:$I,8,0),"")</f>
        <v>FOB Shipping Point</v>
      </c>
      <c r="J156" s="16">
        <f t="shared" si="7"/>
        <v>45998</v>
      </c>
      <c r="K156" s="15">
        <f t="shared" si="6"/>
        <v>124725.65000000001</v>
      </c>
      <c r="L156" s="14" t="str">
        <f>IF(H156="","Excluded - no order",IF(J156&lt;Assumptions!$B$3,"Pre-Q4",IF(J156&lt;=Assumptions!$B$4,"Q4 2025","Deferred Q1 2026")))</f>
        <v>Q4 2025</v>
      </c>
    </row>
    <row r="157" spans="1:12" ht="15" customHeight="1" x14ac:dyDescent="0.2">
      <c r="A157" s="14" t="s">
        <v>471</v>
      </c>
      <c r="B157" s="14" t="s">
        <v>472</v>
      </c>
      <c r="C157" s="18">
        <v>46000</v>
      </c>
      <c r="D157" s="18">
        <v>46004</v>
      </c>
      <c r="E157" s="14">
        <v>193</v>
      </c>
      <c r="F157" s="14" t="s">
        <v>473</v>
      </c>
      <c r="G157" s="14" t="s">
        <v>474</v>
      </c>
      <c r="H157" s="15">
        <f>IFERROR(VLOOKUP(B157,Orders!$A:$I,6,0),"")</f>
        <v>37.06</v>
      </c>
      <c r="I157" s="14" t="str">
        <f>IFERROR(VLOOKUP(B157,Orders!$A:$I,8,0),"")</f>
        <v>FOB Shipping Point</v>
      </c>
      <c r="J157" s="16">
        <f t="shared" si="7"/>
        <v>46000</v>
      </c>
      <c r="K157" s="15">
        <f t="shared" si="6"/>
        <v>7152.5800000000008</v>
      </c>
      <c r="L157" s="14" t="str">
        <f>IF(H157="","Excluded - no order",IF(J157&lt;Assumptions!$B$3,"Pre-Q4",IF(J157&lt;=Assumptions!$B$4,"Q4 2025","Deferred Q1 2026")))</f>
        <v>Q4 2025</v>
      </c>
    </row>
    <row r="158" spans="1:12" ht="15" customHeight="1" x14ac:dyDescent="0.2">
      <c r="A158" s="14" t="s">
        <v>475</v>
      </c>
      <c r="B158" s="14" t="s">
        <v>476</v>
      </c>
      <c r="C158" s="18">
        <v>45985</v>
      </c>
      <c r="D158" s="18">
        <v>45991</v>
      </c>
      <c r="E158" s="14">
        <v>78</v>
      </c>
      <c r="F158" s="14" t="s">
        <v>477</v>
      </c>
      <c r="G158" s="14" t="s">
        <v>478</v>
      </c>
      <c r="H158" s="15">
        <f>IFERROR(VLOOKUP(B158,Orders!$A:$I,6,0),"")</f>
        <v>129.15</v>
      </c>
      <c r="I158" s="14" t="str">
        <f>IFERROR(VLOOKUP(B158,Orders!$A:$I,8,0),"")</f>
        <v>FOB Destination</v>
      </c>
      <c r="J158" s="16">
        <f t="shared" si="7"/>
        <v>45991</v>
      </c>
      <c r="K158" s="15">
        <f t="shared" si="6"/>
        <v>10073.700000000001</v>
      </c>
      <c r="L158" s="14" t="str">
        <f>IF(H158="","Excluded - no order",IF(J158&lt;Assumptions!$B$3,"Pre-Q4",IF(J158&lt;=Assumptions!$B$4,"Q4 2025","Deferred Q1 2026")))</f>
        <v>Q4 2025</v>
      </c>
    </row>
    <row r="159" spans="1:12" ht="15" customHeight="1" x14ac:dyDescent="0.2">
      <c r="A159" s="14" t="s">
        <v>479</v>
      </c>
      <c r="B159" s="14" t="s">
        <v>480</v>
      </c>
      <c r="C159" s="18">
        <v>46003</v>
      </c>
      <c r="D159" s="18">
        <v>46007</v>
      </c>
      <c r="E159" s="14">
        <v>1949</v>
      </c>
      <c r="F159" s="14" t="s">
        <v>73</v>
      </c>
      <c r="G159" s="14" t="s">
        <v>74</v>
      </c>
      <c r="H159" s="15">
        <f>IFERROR(VLOOKUP(B159,Orders!$A:$I,6,0),"")</f>
        <v>494.61</v>
      </c>
      <c r="I159" s="14" t="str">
        <f>IFERROR(VLOOKUP(B159,Orders!$A:$I,8,0),"")</f>
        <v>FOB Destination</v>
      </c>
      <c r="J159" s="16">
        <f t="shared" si="7"/>
        <v>46007</v>
      </c>
      <c r="K159" s="15">
        <f t="shared" si="6"/>
        <v>963994.89</v>
      </c>
      <c r="L159" s="14" t="str">
        <f>IF(H159="","Excluded - no order",IF(J159&lt;Assumptions!$B$3,"Pre-Q4",IF(J159&lt;=Assumptions!$B$4,"Q4 2025","Deferred Q1 2026")))</f>
        <v>Q4 2025</v>
      </c>
    </row>
    <row r="160" spans="1:12" ht="15" customHeight="1" x14ac:dyDescent="0.2">
      <c r="A160" s="14" t="s">
        <v>481</v>
      </c>
      <c r="B160" s="14" t="s">
        <v>482</v>
      </c>
      <c r="C160" s="18">
        <v>46004</v>
      </c>
      <c r="D160" s="18">
        <v>46010</v>
      </c>
      <c r="E160" s="14">
        <v>1227</v>
      </c>
      <c r="F160" s="14" t="s">
        <v>77</v>
      </c>
      <c r="G160" s="14" t="s">
        <v>78</v>
      </c>
      <c r="H160" s="15">
        <f>IFERROR(VLOOKUP(B160,Orders!$A:$I,6,0),"")</f>
        <v>298.08</v>
      </c>
      <c r="I160" s="14" t="str">
        <f>IFERROR(VLOOKUP(B160,Orders!$A:$I,8,0),"")</f>
        <v>FOB Destination</v>
      </c>
      <c r="J160" s="16">
        <f t="shared" si="7"/>
        <v>46010</v>
      </c>
      <c r="K160" s="15">
        <f t="shared" si="6"/>
        <v>365744.16</v>
      </c>
      <c r="L160" s="14" t="str">
        <f>IF(H160="","Excluded - no order",IF(J160&lt;Assumptions!$B$3,"Pre-Q4",IF(J160&lt;=Assumptions!$B$4,"Q4 2025","Deferred Q1 2026")))</f>
        <v>Q4 2025</v>
      </c>
    </row>
    <row r="161" spans="1:12" ht="15" customHeight="1" x14ac:dyDescent="0.2">
      <c r="A161" s="14" t="s">
        <v>483</v>
      </c>
      <c r="B161" s="14" t="s">
        <v>484</v>
      </c>
      <c r="C161" s="18">
        <v>45998</v>
      </c>
      <c r="D161" s="18">
        <v>46002</v>
      </c>
      <c r="E161" s="14">
        <v>1751</v>
      </c>
      <c r="F161" s="14" t="s">
        <v>149</v>
      </c>
      <c r="G161" s="14" t="s">
        <v>150</v>
      </c>
      <c r="H161" s="15">
        <f>IFERROR(VLOOKUP(B161,Orders!$A:$I,6,0),"")</f>
        <v>146.44999999999999</v>
      </c>
      <c r="I161" s="14" t="str">
        <f>IFERROR(VLOOKUP(B161,Orders!$A:$I,8,0),"")</f>
        <v>FOB Shipping Point</v>
      </c>
      <c r="J161" s="16">
        <f t="shared" si="7"/>
        <v>45998</v>
      </c>
      <c r="K161" s="15">
        <f t="shared" si="6"/>
        <v>256433.94999999998</v>
      </c>
      <c r="L161" s="14" t="str">
        <f>IF(H161="","Excluded - no order",IF(J161&lt;Assumptions!$B$3,"Pre-Q4",IF(J161&lt;=Assumptions!$B$4,"Q4 2025","Deferred Q1 2026")))</f>
        <v>Q4 2025</v>
      </c>
    </row>
    <row r="162" spans="1:12" ht="15" customHeight="1" x14ac:dyDescent="0.2">
      <c r="A162" s="14" t="s">
        <v>485</v>
      </c>
      <c r="B162" s="14" t="s">
        <v>486</v>
      </c>
      <c r="C162" s="18">
        <v>45996</v>
      </c>
      <c r="D162" s="18">
        <v>45999</v>
      </c>
      <c r="E162" s="14">
        <v>1336</v>
      </c>
      <c r="F162" s="14" t="s">
        <v>77</v>
      </c>
      <c r="G162" s="14" t="s">
        <v>78</v>
      </c>
      <c r="H162" s="15">
        <f>IFERROR(VLOOKUP(B162,Orders!$A:$I,6,0),"")</f>
        <v>379.49</v>
      </c>
      <c r="I162" s="14" t="str">
        <f>IFERROR(VLOOKUP(B162,Orders!$A:$I,8,0),"")</f>
        <v>FOB Destination</v>
      </c>
      <c r="J162" s="16">
        <f t="shared" si="7"/>
        <v>45999</v>
      </c>
      <c r="K162" s="15">
        <f t="shared" si="6"/>
        <v>506998.64</v>
      </c>
      <c r="L162" s="14" t="str">
        <f>IF(H162="","Excluded - no order",IF(J162&lt;Assumptions!$B$3,"Pre-Q4",IF(J162&lt;=Assumptions!$B$4,"Q4 2025","Deferred Q1 2026")))</f>
        <v>Q4 2025</v>
      </c>
    </row>
    <row r="163" spans="1:12" ht="15" customHeight="1" x14ac:dyDescent="0.2">
      <c r="A163" s="14" t="s">
        <v>487</v>
      </c>
      <c r="B163" s="14" t="s">
        <v>486</v>
      </c>
      <c r="C163" s="18">
        <v>45998</v>
      </c>
      <c r="D163" s="18">
        <v>46001</v>
      </c>
      <c r="E163" s="14">
        <v>620</v>
      </c>
      <c r="F163" s="14" t="s">
        <v>77</v>
      </c>
      <c r="G163" s="14" t="s">
        <v>78</v>
      </c>
      <c r="H163" s="15">
        <f>IFERROR(VLOOKUP(B163,Orders!$A:$I,6,0),"")</f>
        <v>379.49</v>
      </c>
      <c r="I163" s="14" t="str">
        <f>IFERROR(VLOOKUP(B163,Orders!$A:$I,8,0),"")</f>
        <v>FOB Destination</v>
      </c>
      <c r="J163" s="16">
        <f t="shared" si="7"/>
        <v>46001</v>
      </c>
      <c r="K163" s="15">
        <f t="shared" si="6"/>
        <v>235283.80000000002</v>
      </c>
      <c r="L163" s="14" t="str">
        <f>IF(H163="","Excluded - no order",IF(J163&lt;Assumptions!$B$3,"Pre-Q4",IF(J163&lt;=Assumptions!$B$4,"Q4 2025","Deferred Q1 2026")))</f>
        <v>Q4 2025</v>
      </c>
    </row>
    <row r="164" spans="1:12" ht="15" customHeight="1" x14ac:dyDescent="0.2">
      <c r="A164" s="14" t="s">
        <v>488</v>
      </c>
      <c r="B164" s="14" t="s">
        <v>489</v>
      </c>
      <c r="C164" s="18">
        <v>45976</v>
      </c>
      <c r="D164" s="18">
        <v>45978</v>
      </c>
      <c r="E164" s="14">
        <v>697</v>
      </c>
      <c r="F164" s="14" t="s">
        <v>100</v>
      </c>
      <c r="G164" s="14" t="s">
        <v>101</v>
      </c>
      <c r="H164" s="15">
        <f>IFERROR(VLOOKUP(B164,Orders!$A:$I,6,0),"")</f>
        <v>114.74</v>
      </c>
      <c r="I164" s="14" t="str">
        <f>IFERROR(VLOOKUP(B164,Orders!$A:$I,8,0),"")</f>
        <v>FOB Destination</v>
      </c>
      <c r="J164" s="16">
        <f t="shared" si="7"/>
        <v>45978</v>
      </c>
      <c r="K164" s="15">
        <f t="shared" si="6"/>
        <v>79973.78</v>
      </c>
      <c r="L164" s="14" t="str">
        <f>IF(H164="","Excluded - no order",IF(J164&lt;Assumptions!$B$3,"Pre-Q4",IF(J164&lt;=Assumptions!$B$4,"Q4 2025","Deferred Q1 2026")))</f>
        <v>Q4 2025</v>
      </c>
    </row>
    <row r="165" spans="1:12" ht="15" customHeight="1" x14ac:dyDescent="0.2">
      <c r="A165" s="14" t="s">
        <v>490</v>
      </c>
      <c r="B165" s="14" t="s">
        <v>491</v>
      </c>
      <c r="C165" s="18">
        <v>45992</v>
      </c>
      <c r="D165" s="18">
        <v>45995</v>
      </c>
      <c r="E165" s="14">
        <v>1380</v>
      </c>
      <c r="F165" s="14" t="s">
        <v>122</v>
      </c>
      <c r="G165" s="14" t="s">
        <v>123</v>
      </c>
      <c r="H165" s="15">
        <f>IFERROR(VLOOKUP(B165,Orders!$A:$I,6,0),"")</f>
        <v>135.74</v>
      </c>
      <c r="I165" s="14" t="str">
        <f>IFERROR(VLOOKUP(B165,Orders!$A:$I,8,0),"")</f>
        <v>FOB Shipping Point</v>
      </c>
      <c r="J165" s="16">
        <f t="shared" si="7"/>
        <v>45992</v>
      </c>
      <c r="K165" s="15">
        <f t="shared" si="6"/>
        <v>187321.2</v>
      </c>
      <c r="L165" s="14" t="str">
        <f>IF(H165="","Excluded - no order",IF(J165&lt;Assumptions!$B$3,"Pre-Q4",IF(J165&lt;=Assumptions!$B$4,"Q4 2025","Deferred Q1 2026")))</f>
        <v>Q4 2025</v>
      </c>
    </row>
    <row r="166" spans="1:12" ht="15" customHeight="1" x14ac:dyDescent="0.2">
      <c r="A166" s="14" t="s">
        <v>492</v>
      </c>
      <c r="B166" s="14" t="s">
        <v>493</v>
      </c>
      <c r="C166" s="18">
        <v>45977</v>
      </c>
      <c r="D166" s="18">
        <v>45979</v>
      </c>
      <c r="E166" s="14">
        <v>718</v>
      </c>
      <c r="F166" s="14" t="s">
        <v>112</v>
      </c>
      <c r="G166" s="14" t="s">
        <v>113</v>
      </c>
      <c r="H166" s="15">
        <f>IFERROR(VLOOKUP(B166,Orders!$A:$I,6,0),"")</f>
        <v>347</v>
      </c>
      <c r="I166" s="14" t="str">
        <f>IFERROR(VLOOKUP(B166,Orders!$A:$I,8,0),"")</f>
        <v>FOB Shipping Point</v>
      </c>
      <c r="J166" s="16">
        <f t="shared" si="7"/>
        <v>45977</v>
      </c>
      <c r="K166" s="15">
        <f t="shared" si="6"/>
        <v>249146</v>
      </c>
      <c r="L166" s="14" t="str">
        <f>IF(H166="","Excluded - no order",IF(J166&lt;Assumptions!$B$3,"Pre-Q4",IF(J166&lt;=Assumptions!$B$4,"Q4 2025","Deferred Q1 2026")))</f>
        <v>Q4 2025</v>
      </c>
    </row>
    <row r="167" spans="1:12" ht="15" customHeight="1" x14ac:dyDescent="0.2">
      <c r="A167" s="14" t="s">
        <v>494</v>
      </c>
      <c r="B167" s="14" t="s">
        <v>495</v>
      </c>
      <c r="C167" s="18">
        <v>46018</v>
      </c>
      <c r="D167" s="18">
        <v>46020</v>
      </c>
      <c r="E167" s="14">
        <v>1329</v>
      </c>
      <c r="F167" s="14" t="s">
        <v>176</v>
      </c>
      <c r="G167" s="14" t="s">
        <v>177</v>
      </c>
      <c r="H167" s="15">
        <f>IFERROR(VLOOKUP(B167,Orders!$A:$I,6,0),"")</f>
        <v>185.2</v>
      </c>
      <c r="I167" s="14" t="str">
        <f>IFERROR(VLOOKUP(B167,Orders!$A:$I,8,0),"")</f>
        <v>FOB Destination</v>
      </c>
      <c r="J167" s="16">
        <f t="shared" si="7"/>
        <v>46020</v>
      </c>
      <c r="K167" s="15">
        <f t="shared" si="6"/>
        <v>246130.8</v>
      </c>
      <c r="L167" s="14" t="str">
        <f>IF(H167="","Excluded - no order",IF(J167&lt;Assumptions!$B$3,"Pre-Q4",IF(J167&lt;=Assumptions!$B$4,"Q4 2025","Deferred Q1 2026")))</f>
        <v>Q4 2025</v>
      </c>
    </row>
    <row r="168" spans="1:12" ht="15" customHeight="1" x14ac:dyDescent="0.2">
      <c r="A168" s="14" t="s">
        <v>496</v>
      </c>
      <c r="B168" s="14" t="s">
        <v>495</v>
      </c>
      <c r="C168" s="18">
        <v>46020</v>
      </c>
      <c r="D168" s="18">
        <v>46023</v>
      </c>
      <c r="E168" s="14">
        <v>506</v>
      </c>
      <c r="F168" s="14" t="s">
        <v>203</v>
      </c>
      <c r="G168" s="14" t="s">
        <v>204</v>
      </c>
      <c r="H168" s="15">
        <f>IFERROR(VLOOKUP(B168,Orders!$A:$I,6,0),"")</f>
        <v>185.2</v>
      </c>
      <c r="I168" s="14" t="str">
        <f>IFERROR(VLOOKUP(B168,Orders!$A:$I,8,0),"")</f>
        <v>FOB Destination</v>
      </c>
      <c r="J168" s="16">
        <f t="shared" si="7"/>
        <v>46023</v>
      </c>
      <c r="K168" s="15">
        <f t="shared" si="6"/>
        <v>93711.2</v>
      </c>
      <c r="L168" s="14" t="str">
        <f>IF(H168="","Excluded - no order",IF(J168&lt;Assumptions!$B$3,"Pre-Q4",IF(J168&lt;=Assumptions!$B$4,"Q4 2025","Deferred Q1 2026")))</f>
        <v>Deferred Q1 2026</v>
      </c>
    </row>
    <row r="169" spans="1:12" ht="15" customHeight="1" x14ac:dyDescent="0.2">
      <c r="A169" s="14" t="s">
        <v>497</v>
      </c>
      <c r="B169" s="14" t="s">
        <v>498</v>
      </c>
      <c r="C169" s="18">
        <v>46015</v>
      </c>
      <c r="D169" s="18">
        <v>46020</v>
      </c>
      <c r="E169" s="14">
        <v>327</v>
      </c>
      <c r="F169" s="14" t="s">
        <v>118</v>
      </c>
      <c r="G169" s="14" t="s">
        <v>119</v>
      </c>
      <c r="H169" s="15">
        <f>IFERROR(VLOOKUP(B169,Orders!$A:$I,6,0),"")</f>
        <v>451.59</v>
      </c>
      <c r="I169" s="14" t="str">
        <f>IFERROR(VLOOKUP(B169,Orders!$A:$I,8,0),"")</f>
        <v>FOB Destination</v>
      </c>
      <c r="J169" s="16">
        <f t="shared" si="7"/>
        <v>46020</v>
      </c>
      <c r="K169" s="15">
        <f t="shared" si="6"/>
        <v>147669.93</v>
      </c>
      <c r="L169" s="14" t="str">
        <f>IF(H169="","Excluded - no order",IF(J169&lt;Assumptions!$B$3,"Pre-Q4",IF(J169&lt;=Assumptions!$B$4,"Q4 2025","Deferred Q1 2026")))</f>
        <v>Q4 2025</v>
      </c>
    </row>
    <row r="170" spans="1:12" ht="15" customHeight="1" x14ac:dyDescent="0.2">
      <c r="A170" s="14" t="s">
        <v>499</v>
      </c>
      <c r="B170" s="14" t="s">
        <v>500</v>
      </c>
      <c r="C170" s="18">
        <v>46021</v>
      </c>
      <c r="D170" s="18">
        <v>46022</v>
      </c>
      <c r="E170" s="14">
        <v>24</v>
      </c>
      <c r="F170" s="14" t="s">
        <v>122</v>
      </c>
      <c r="G170" s="14" t="s">
        <v>123</v>
      </c>
      <c r="H170" s="15">
        <f>IFERROR(VLOOKUP(B170,Orders!$A:$I,6,0),"")</f>
        <v>158.5</v>
      </c>
      <c r="I170" s="14" t="str">
        <f>IFERROR(VLOOKUP(B170,Orders!$A:$I,8,0),"")</f>
        <v>FOB Destination</v>
      </c>
      <c r="J170" s="16">
        <f t="shared" si="7"/>
        <v>46022</v>
      </c>
      <c r="K170" s="15">
        <f t="shared" si="6"/>
        <v>3804</v>
      </c>
      <c r="L170" s="14" t="str">
        <f>IF(H170="","Excluded - no order",IF(J170&lt;Assumptions!$B$3,"Pre-Q4",IF(J170&lt;=Assumptions!$B$4,"Q4 2025","Deferred Q1 2026")))</f>
        <v>Q4 2025</v>
      </c>
    </row>
    <row r="171" spans="1:12" ht="15" customHeight="1" x14ac:dyDescent="0.2">
      <c r="A171" s="14" t="s">
        <v>501</v>
      </c>
      <c r="B171" s="14" t="s">
        <v>502</v>
      </c>
      <c r="C171" s="18">
        <v>45995</v>
      </c>
      <c r="D171" s="18">
        <v>45996</v>
      </c>
      <c r="E171" s="14">
        <v>922</v>
      </c>
      <c r="F171" s="14" t="s">
        <v>503</v>
      </c>
      <c r="G171" s="14" t="s">
        <v>504</v>
      </c>
      <c r="H171" s="15">
        <f>IFERROR(VLOOKUP(B171,Orders!$A:$I,6,0),"")</f>
        <v>480.08</v>
      </c>
      <c r="I171" s="14" t="str">
        <f>IFERROR(VLOOKUP(B171,Orders!$A:$I,8,0),"")</f>
        <v>FOB Shipping Point</v>
      </c>
      <c r="J171" s="16">
        <f t="shared" si="7"/>
        <v>45995</v>
      </c>
      <c r="K171" s="15">
        <f t="shared" si="6"/>
        <v>442633.76</v>
      </c>
      <c r="L171" s="14" t="str">
        <f>IF(H171="","Excluded - no order",IF(J171&lt;Assumptions!$B$3,"Pre-Q4",IF(J171&lt;=Assumptions!$B$4,"Q4 2025","Deferred Q1 2026")))</f>
        <v>Q4 2025</v>
      </c>
    </row>
    <row r="172" spans="1:12" ht="15" customHeight="1" x14ac:dyDescent="0.2">
      <c r="A172" s="14" t="s">
        <v>505</v>
      </c>
      <c r="B172" s="14" t="s">
        <v>502</v>
      </c>
      <c r="C172" s="18">
        <v>45997</v>
      </c>
      <c r="D172" s="18">
        <v>45998</v>
      </c>
      <c r="E172" s="14">
        <v>432</v>
      </c>
      <c r="F172" s="14" t="s">
        <v>506</v>
      </c>
      <c r="G172" s="14" t="s">
        <v>507</v>
      </c>
      <c r="H172" s="15">
        <f>IFERROR(VLOOKUP(B172,Orders!$A:$I,6,0),"")</f>
        <v>480.08</v>
      </c>
      <c r="I172" s="14" t="str">
        <f>IFERROR(VLOOKUP(B172,Orders!$A:$I,8,0),"")</f>
        <v>FOB Shipping Point</v>
      </c>
      <c r="J172" s="16">
        <f t="shared" si="7"/>
        <v>45997</v>
      </c>
      <c r="K172" s="15">
        <f t="shared" si="6"/>
        <v>207394.56</v>
      </c>
      <c r="L172" s="14" t="str">
        <f>IF(H172="","Excluded - no order",IF(J172&lt;Assumptions!$B$3,"Pre-Q4",IF(J172&lt;=Assumptions!$B$4,"Q4 2025","Deferred Q1 2026")))</f>
        <v>Q4 2025</v>
      </c>
    </row>
    <row r="173" spans="1:12" ht="15" customHeight="1" x14ac:dyDescent="0.2">
      <c r="A173" s="14" t="s">
        <v>508</v>
      </c>
      <c r="B173" s="14" t="s">
        <v>509</v>
      </c>
      <c r="C173" s="18">
        <v>45994</v>
      </c>
      <c r="D173" s="18">
        <v>46000</v>
      </c>
      <c r="E173" s="14">
        <v>998</v>
      </c>
      <c r="F173" s="14" t="s">
        <v>510</v>
      </c>
      <c r="G173" s="14" t="s">
        <v>511</v>
      </c>
      <c r="H173" s="15">
        <f>IFERROR(VLOOKUP(B173,Orders!$A:$I,6,0),"")</f>
        <v>110.43</v>
      </c>
      <c r="I173" s="14" t="str">
        <f>IFERROR(VLOOKUP(B173,Orders!$A:$I,8,0),"")</f>
        <v>FOB Shipping Point</v>
      </c>
      <c r="J173" s="16">
        <f t="shared" si="7"/>
        <v>45994</v>
      </c>
      <c r="K173" s="15">
        <f t="shared" si="6"/>
        <v>110209.14000000001</v>
      </c>
      <c r="L173" s="14" t="str">
        <f>IF(H173="","Excluded - no order",IF(J173&lt;Assumptions!$B$3,"Pre-Q4",IF(J173&lt;=Assumptions!$B$4,"Q4 2025","Deferred Q1 2026")))</f>
        <v>Q4 2025</v>
      </c>
    </row>
    <row r="174" spans="1:12" ht="15" customHeight="1" x14ac:dyDescent="0.2">
      <c r="A174" s="14" t="s">
        <v>512</v>
      </c>
      <c r="B174" s="14" t="s">
        <v>509</v>
      </c>
      <c r="C174" s="18">
        <v>45996</v>
      </c>
      <c r="D174" s="18">
        <v>46002</v>
      </c>
      <c r="E174" s="14">
        <v>266</v>
      </c>
      <c r="F174" s="14" t="s">
        <v>513</v>
      </c>
      <c r="G174" s="14" t="s">
        <v>514</v>
      </c>
      <c r="H174" s="15">
        <f>IFERROR(VLOOKUP(B174,Orders!$A:$I,6,0),"")</f>
        <v>110.43</v>
      </c>
      <c r="I174" s="14" t="str">
        <f>IFERROR(VLOOKUP(B174,Orders!$A:$I,8,0),"")</f>
        <v>FOB Shipping Point</v>
      </c>
      <c r="J174" s="16">
        <f t="shared" si="7"/>
        <v>45996</v>
      </c>
      <c r="K174" s="15">
        <f t="shared" si="6"/>
        <v>29374.38</v>
      </c>
      <c r="L174" s="14" t="str">
        <f>IF(H174="","Excluded - no order",IF(J174&lt;Assumptions!$B$3,"Pre-Q4",IF(J174&lt;=Assumptions!$B$4,"Q4 2025","Deferred Q1 2026")))</f>
        <v>Q4 2025</v>
      </c>
    </row>
    <row r="175" spans="1:12" ht="15" customHeight="1" x14ac:dyDescent="0.2">
      <c r="A175" s="14" t="s">
        <v>515</v>
      </c>
      <c r="B175" s="14" t="s">
        <v>516</v>
      </c>
      <c r="C175" s="18">
        <v>45957</v>
      </c>
      <c r="D175" s="18">
        <v>45962</v>
      </c>
      <c r="E175" s="14">
        <v>738</v>
      </c>
      <c r="F175" s="14" t="s">
        <v>517</v>
      </c>
      <c r="G175" s="14" t="s">
        <v>518</v>
      </c>
      <c r="H175" s="15">
        <f>IFERROR(VLOOKUP(B175,Orders!$A:$I,6,0),"")</f>
        <v>87.43</v>
      </c>
      <c r="I175" s="14" t="str">
        <f>IFERROR(VLOOKUP(B175,Orders!$A:$I,8,0),"")</f>
        <v>FOB Shipping Point</v>
      </c>
      <c r="J175" s="16">
        <f t="shared" si="7"/>
        <v>45957</v>
      </c>
      <c r="K175" s="15">
        <f t="shared" si="6"/>
        <v>64523.340000000004</v>
      </c>
      <c r="L175" s="14" t="str">
        <f>IF(H175="","Excluded - no order",IF(J175&lt;Assumptions!$B$3,"Pre-Q4",IF(J175&lt;=Assumptions!$B$4,"Q4 2025","Deferred Q1 2026")))</f>
        <v>Q4 2025</v>
      </c>
    </row>
    <row r="176" spans="1:12" ht="15" customHeight="1" x14ac:dyDescent="0.2">
      <c r="A176" s="14" t="s">
        <v>519</v>
      </c>
      <c r="B176" s="14" t="s">
        <v>520</v>
      </c>
      <c r="C176" s="18">
        <v>45998</v>
      </c>
      <c r="D176" s="18">
        <v>46004</v>
      </c>
      <c r="E176" s="14">
        <v>442</v>
      </c>
      <c r="F176" s="14" t="s">
        <v>521</v>
      </c>
      <c r="G176" s="14" t="s">
        <v>522</v>
      </c>
      <c r="H176" s="15">
        <f>IFERROR(VLOOKUP(B176,Orders!$A:$I,6,0),"")</f>
        <v>428.49</v>
      </c>
      <c r="I176" s="14" t="str">
        <f>IFERROR(VLOOKUP(B176,Orders!$A:$I,8,0),"")</f>
        <v>FOB Destination</v>
      </c>
      <c r="J176" s="16">
        <f t="shared" si="7"/>
        <v>46004</v>
      </c>
      <c r="K176" s="15">
        <f t="shared" si="6"/>
        <v>189392.58000000002</v>
      </c>
      <c r="L176" s="14" t="str">
        <f>IF(H176="","Excluded - no order",IF(J176&lt;Assumptions!$B$3,"Pre-Q4",IF(J176&lt;=Assumptions!$B$4,"Q4 2025","Deferred Q1 2026")))</f>
        <v>Q4 2025</v>
      </c>
    </row>
    <row r="177" spans="1:12" ht="15" customHeight="1" x14ac:dyDescent="0.2">
      <c r="A177" s="14" t="s">
        <v>523</v>
      </c>
      <c r="B177" s="14" t="s">
        <v>524</v>
      </c>
      <c r="C177" s="18">
        <v>45986</v>
      </c>
      <c r="D177" s="18">
        <v>45987</v>
      </c>
      <c r="E177" s="14">
        <v>1695</v>
      </c>
      <c r="F177" s="14" t="s">
        <v>100</v>
      </c>
      <c r="G177" s="14" t="s">
        <v>101</v>
      </c>
      <c r="H177" s="15">
        <f>IFERROR(VLOOKUP(B177,Orders!$A:$I,6,0),"")</f>
        <v>409.73</v>
      </c>
      <c r="I177" s="14" t="str">
        <f>IFERROR(VLOOKUP(B177,Orders!$A:$I,8,0),"")</f>
        <v>FOB Destination</v>
      </c>
      <c r="J177" s="16">
        <f t="shared" si="7"/>
        <v>45987</v>
      </c>
      <c r="K177" s="15">
        <f t="shared" si="6"/>
        <v>694492.35</v>
      </c>
      <c r="L177" s="14" t="str">
        <f>IF(H177="","Excluded - no order",IF(J177&lt;Assumptions!$B$3,"Pre-Q4",IF(J177&lt;=Assumptions!$B$4,"Q4 2025","Deferred Q1 2026")))</f>
        <v>Q4 2025</v>
      </c>
    </row>
    <row r="178" spans="1:12" ht="15" customHeight="1" x14ac:dyDescent="0.2">
      <c r="A178" s="14" t="s">
        <v>525</v>
      </c>
      <c r="B178" s="14" t="s">
        <v>526</v>
      </c>
      <c r="C178" s="18">
        <v>45989</v>
      </c>
      <c r="D178" s="18">
        <v>45992</v>
      </c>
      <c r="E178" s="14">
        <v>1709</v>
      </c>
      <c r="F178" s="14" t="s">
        <v>527</v>
      </c>
      <c r="G178" s="14" t="s">
        <v>528</v>
      </c>
      <c r="H178" s="15">
        <f>IFERROR(VLOOKUP(B178,Orders!$A:$I,6,0),"")</f>
        <v>139.12</v>
      </c>
      <c r="I178" s="14" t="str">
        <f>IFERROR(VLOOKUP(B178,Orders!$A:$I,8,0),"")</f>
        <v>FOB Shipping Point</v>
      </c>
      <c r="J178" s="16">
        <f t="shared" si="7"/>
        <v>45989</v>
      </c>
      <c r="K178" s="15">
        <f t="shared" si="6"/>
        <v>237756.08000000002</v>
      </c>
      <c r="L178" s="14" t="str">
        <f>IF(H178="","Excluded - no order",IF(J178&lt;Assumptions!$B$3,"Pre-Q4",IF(J178&lt;=Assumptions!$B$4,"Q4 2025","Deferred Q1 2026")))</f>
        <v>Q4 2025</v>
      </c>
    </row>
    <row r="179" spans="1:12" ht="15" customHeight="1" x14ac:dyDescent="0.2">
      <c r="A179" s="14" t="s">
        <v>529</v>
      </c>
      <c r="B179" s="14" t="s">
        <v>530</v>
      </c>
      <c r="C179" s="18">
        <v>46004</v>
      </c>
      <c r="D179" s="18">
        <v>46006</v>
      </c>
      <c r="E179" s="14">
        <v>1184</v>
      </c>
      <c r="F179" s="14" t="s">
        <v>149</v>
      </c>
      <c r="G179" s="14" t="s">
        <v>150</v>
      </c>
      <c r="H179" s="15">
        <f>IFERROR(VLOOKUP(B179,Orders!$A:$I,6,0),"")</f>
        <v>266.11</v>
      </c>
      <c r="I179" s="14" t="str">
        <f>IFERROR(VLOOKUP(B179,Orders!$A:$I,8,0),"")</f>
        <v>FOB Shipping Point</v>
      </c>
      <c r="J179" s="16">
        <f t="shared" si="7"/>
        <v>46004</v>
      </c>
      <c r="K179" s="15">
        <f t="shared" si="6"/>
        <v>315074.24</v>
      </c>
      <c r="L179" s="14" t="str">
        <f>IF(H179="","Excluded - no order",IF(J179&lt;Assumptions!$B$3,"Pre-Q4",IF(J179&lt;=Assumptions!$B$4,"Q4 2025","Deferred Q1 2026")))</f>
        <v>Q4 2025</v>
      </c>
    </row>
    <row r="180" spans="1:12" ht="15" customHeight="1" x14ac:dyDescent="0.2">
      <c r="A180" s="14" t="s">
        <v>531</v>
      </c>
      <c r="B180" s="14" t="s">
        <v>530</v>
      </c>
      <c r="C180" s="18">
        <v>46006</v>
      </c>
      <c r="D180" s="18">
        <v>46008</v>
      </c>
      <c r="E180" s="14">
        <v>342</v>
      </c>
      <c r="F180" s="14" t="s">
        <v>73</v>
      </c>
      <c r="G180" s="14" t="s">
        <v>74</v>
      </c>
      <c r="H180" s="15">
        <f>IFERROR(VLOOKUP(B180,Orders!$A:$I,6,0),"")</f>
        <v>266.11</v>
      </c>
      <c r="I180" s="14" t="str">
        <f>IFERROR(VLOOKUP(B180,Orders!$A:$I,8,0),"")</f>
        <v>FOB Shipping Point</v>
      </c>
      <c r="J180" s="16">
        <f t="shared" si="7"/>
        <v>46006</v>
      </c>
      <c r="K180" s="15">
        <f t="shared" si="6"/>
        <v>91009.62000000001</v>
      </c>
      <c r="L180" s="14" t="str">
        <f>IF(H180="","Excluded - no order",IF(J180&lt;Assumptions!$B$3,"Pre-Q4",IF(J180&lt;=Assumptions!$B$4,"Q4 2025","Deferred Q1 2026")))</f>
        <v>Q4 2025</v>
      </c>
    </row>
    <row r="181" spans="1:12" ht="15" customHeight="1" x14ac:dyDescent="0.2">
      <c r="A181" s="14" t="s">
        <v>532</v>
      </c>
      <c r="B181" s="14" t="s">
        <v>533</v>
      </c>
      <c r="C181" s="18">
        <v>45994</v>
      </c>
      <c r="D181" s="18">
        <v>45998</v>
      </c>
      <c r="E181" s="14">
        <v>1185</v>
      </c>
      <c r="F181" s="14" t="s">
        <v>229</v>
      </c>
      <c r="G181" s="14" t="s">
        <v>230</v>
      </c>
      <c r="H181" s="15">
        <f>IFERROR(VLOOKUP(B181,Orders!$A:$I,6,0),"")</f>
        <v>185.91</v>
      </c>
      <c r="I181" s="14" t="str">
        <f>IFERROR(VLOOKUP(B181,Orders!$A:$I,8,0),"")</f>
        <v>FOB Shipping Point</v>
      </c>
      <c r="J181" s="16">
        <f t="shared" si="7"/>
        <v>45994</v>
      </c>
      <c r="K181" s="15">
        <f t="shared" si="6"/>
        <v>220303.35</v>
      </c>
      <c r="L181" s="14" t="str">
        <f>IF(H181="","Excluded - no order",IF(J181&lt;Assumptions!$B$3,"Pre-Q4",IF(J181&lt;=Assumptions!$B$4,"Q4 2025","Deferred Q1 2026")))</f>
        <v>Q4 2025</v>
      </c>
    </row>
    <row r="182" spans="1:12" ht="15" customHeight="1" x14ac:dyDescent="0.2">
      <c r="A182" s="14" t="s">
        <v>534</v>
      </c>
      <c r="B182" s="14" t="s">
        <v>535</v>
      </c>
      <c r="C182" s="18">
        <v>45966</v>
      </c>
      <c r="D182" s="18">
        <v>45970</v>
      </c>
      <c r="E182" s="14">
        <v>1836</v>
      </c>
      <c r="F182" s="14" t="s">
        <v>536</v>
      </c>
      <c r="G182" s="14" t="s">
        <v>537</v>
      </c>
      <c r="H182" s="15">
        <f>IFERROR(VLOOKUP(B182,Orders!$A:$I,6,0),"")</f>
        <v>353.27</v>
      </c>
      <c r="I182" s="14" t="str">
        <f>IFERROR(VLOOKUP(B182,Orders!$A:$I,8,0),"")</f>
        <v>FOB Shipping Point</v>
      </c>
      <c r="J182" s="16">
        <f t="shared" si="7"/>
        <v>45966</v>
      </c>
      <c r="K182" s="15">
        <f t="shared" si="6"/>
        <v>648603.72</v>
      </c>
      <c r="L182" s="14" t="str">
        <f>IF(H182="","Excluded - no order",IF(J182&lt;Assumptions!$B$3,"Pre-Q4",IF(J182&lt;=Assumptions!$B$4,"Q4 2025","Deferred Q1 2026")))</f>
        <v>Q4 2025</v>
      </c>
    </row>
    <row r="183" spans="1:12" ht="15" customHeight="1" x14ac:dyDescent="0.2">
      <c r="A183" s="14" t="s">
        <v>538</v>
      </c>
      <c r="B183" s="14" t="s">
        <v>539</v>
      </c>
      <c r="C183" s="18">
        <v>45955</v>
      </c>
      <c r="D183" s="18">
        <v>45957</v>
      </c>
      <c r="E183" s="14">
        <v>1100</v>
      </c>
      <c r="F183" s="14" t="s">
        <v>112</v>
      </c>
      <c r="G183" s="14" t="s">
        <v>113</v>
      </c>
      <c r="H183" s="15">
        <f>IFERROR(VLOOKUP(B183,Orders!$A:$I,6,0),"")</f>
        <v>423.29</v>
      </c>
      <c r="I183" s="14" t="str">
        <f>IFERROR(VLOOKUP(B183,Orders!$A:$I,8,0),"")</f>
        <v>FOB Shipping Point</v>
      </c>
      <c r="J183" s="16">
        <f t="shared" si="7"/>
        <v>45955</v>
      </c>
      <c r="K183" s="15">
        <f t="shared" si="6"/>
        <v>465619</v>
      </c>
      <c r="L183" s="14" t="str">
        <f>IF(H183="","Excluded - no order",IF(J183&lt;Assumptions!$B$3,"Pre-Q4",IF(J183&lt;=Assumptions!$B$4,"Q4 2025","Deferred Q1 2026")))</f>
        <v>Q4 2025</v>
      </c>
    </row>
    <row r="184" spans="1:12" ht="15" customHeight="1" x14ac:dyDescent="0.2">
      <c r="A184" s="14" t="s">
        <v>540</v>
      </c>
      <c r="B184" s="14" t="s">
        <v>539</v>
      </c>
      <c r="C184" s="18">
        <v>45957</v>
      </c>
      <c r="D184" s="18">
        <v>45959</v>
      </c>
      <c r="E184" s="14">
        <v>306</v>
      </c>
      <c r="F184" s="14" t="s">
        <v>118</v>
      </c>
      <c r="G184" s="14" t="s">
        <v>119</v>
      </c>
      <c r="H184" s="15">
        <f>IFERROR(VLOOKUP(B184,Orders!$A:$I,6,0),"")</f>
        <v>423.29</v>
      </c>
      <c r="I184" s="14" t="str">
        <f>IFERROR(VLOOKUP(B184,Orders!$A:$I,8,0),"")</f>
        <v>FOB Shipping Point</v>
      </c>
      <c r="J184" s="16">
        <f t="shared" si="7"/>
        <v>45957</v>
      </c>
      <c r="K184" s="15">
        <f t="shared" si="6"/>
        <v>129526.74</v>
      </c>
      <c r="L184" s="14" t="str">
        <f>IF(H184="","Excluded - no order",IF(J184&lt;Assumptions!$B$3,"Pre-Q4",IF(J184&lt;=Assumptions!$B$4,"Q4 2025","Deferred Q1 2026")))</f>
        <v>Q4 2025</v>
      </c>
    </row>
    <row r="185" spans="1:12" ht="15" customHeight="1" x14ac:dyDescent="0.2">
      <c r="A185" s="14" t="s">
        <v>541</v>
      </c>
      <c r="B185" s="14" t="s">
        <v>542</v>
      </c>
      <c r="C185" s="18">
        <v>46005</v>
      </c>
      <c r="D185" s="18">
        <v>46008</v>
      </c>
      <c r="E185" s="14">
        <v>782</v>
      </c>
      <c r="F185" s="14" t="s">
        <v>233</v>
      </c>
      <c r="G185" s="14" t="s">
        <v>234</v>
      </c>
      <c r="H185" s="15">
        <f>IFERROR(VLOOKUP(B185,Orders!$A:$I,6,0),"")</f>
        <v>379.03</v>
      </c>
      <c r="I185" s="14" t="str">
        <f>IFERROR(VLOOKUP(B185,Orders!$A:$I,8,0),"")</f>
        <v>FOB Shipping Point</v>
      </c>
      <c r="J185" s="16">
        <f t="shared" si="7"/>
        <v>46005</v>
      </c>
      <c r="K185" s="15">
        <f t="shared" si="6"/>
        <v>296401.45999999996</v>
      </c>
      <c r="L185" s="14" t="str">
        <f>IF(H185="","Excluded - no order",IF(J185&lt;Assumptions!$B$3,"Pre-Q4",IF(J185&lt;=Assumptions!$B$4,"Q4 2025","Deferred Q1 2026")))</f>
        <v>Q4 2025</v>
      </c>
    </row>
    <row r="186" spans="1:12" ht="15" customHeight="1" x14ac:dyDescent="0.2">
      <c r="A186" s="14" t="s">
        <v>543</v>
      </c>
      <c r="B186" s="14" t="s">
        <v>544</v>
      </c>
      <c r="C186" s="18">
        <v>45986</v>
      </c>
      <c r="D186" s="18">
        <v>45992</v>
      </c>
      <c r="E186" s="14">
        <v>1583</v>
      </c>
      <c r="F186" s="14" t="s">
        <v>77</v>
      </c>
      <c r="G186" s="14" t="s">
        <v>78</v>
      </c>
      <c r="H186" s="15">
        <f>IFERROR(VLOOKUP(B186,Orders!$A:$I,6,0),"")</f>
        <v>275.27999999999997</v>
      </c>
      <c r="I186" s="14" t="str">
        <f>IFERROR(VLOOKUP(B186,Orders!$A:$I,8,0),"")</f>
        <v>FOB Destination</v>
      </c>
      <c r="J186" s="16">
        <f t="shared" si="7"/>
        <v>45992</v>
      </c>
      <c r="K186" s="15">
        <f t="shared" si="6"/>
        <v>435768.23999999993</v>
      </c>
      <c r="L186" s="14" t="str">
        <f>IF(H186="","Excluded - no order",IF(J186&lt;Assumptions!$B$3,"Pre-Q4",IF(J186&lt;=Assumptions!$B$4,"Q4 2025","Deferred Q1 2026")))</f>
        <v>Q4 2025</v>
      </c>
    </row>
    <row r="187" spans="1:12" ht="15" customHeight="1" x14ac:dyDescent="0.2">
      <c r="A187" s="14" t="s">
        <v>545</v>
      </c>
      <c r="B187" s="14" t="s">
        <v>546</v>
      </c>
      <c r="C187" s="18">
        <v>46007</v>
      </c>
      <c r="D187" s="18">
        <v>46008</v>
      </c>
      <c r="E187" s="14">
        <v>1530</v>
      </c>
      <c r="F187" s="14" t="s">
        <v>122</v>
      </c>
      <c r="G187" s="14" t="s">
        <v>123</v>
      </c>
      <c r="H187" s="15">
        <f>IFERROR(VLOOKUP(B187,Orders!$A:$I,6,0),"")</f>
        <v>351.99</v>
      </c>
      <c r="I187" s="14" t="str">
        <f>IFERROR(VLOOKUP(B187,Orders!$A:$I,8,0),"")</f>
        <v>FOB Shipping Point</v>
      </c>
      <c r="J187" s="16">
        <f t="shared" si="7"/>
        <v>46007</v>
      </c>
      <c r="K187" s="15">
        <f t="shared" si="6"/>
        <v>538544.70000000007</v>
      </c>
      <c r="L187" s="14" t="str">
        <f>IF(H187="","Excluded - no order",IF(J187&lt;Assumptions!$B$3,"Pre-Q4",IF(J187&lt;=Assumptions!$B$4,"Q4 2025","Deferred Q1 2026")))</f>
        <v>Q4 2025</v>
      </c>
    </row>
    <row r="188" spans="1:12" ht="15" customHeight="1" x14ac:dyDescent="0.2">
      <c r="A188" s="14" t="s">
        <v>547</v>
      </c>
      <c r="B188" s="14" t="s">
        <v>548</v>
      </c>
      <c r="C188" s="18">
        <v>46020</v>
      </c>
      <c r="D188" s="18">
        <v>46026</v>
      </c>
      <c r="E188" s="14">
        <v>640</v>
      </c>
      <c r="F188" s="14" t="s">
        <v>100</v>
      </c>
      <c r="G188" s="14" t="s">
        <v>101</v>
      </c>
      <c r="H188" s="15">
        <f>IFERROR(VLOOKUP(B188,Orders!$A:$I,6,0),"")</f>
        <v>176.24</v>
      </c>
      <c r="I188" s="14" t="str">
        <f>IFERROR(VLOOKUP(B188,Orders!$A:$I,8,0),"")</f>
        <v>FOB Destination</v>
      </c>
      <c r="J188" s="16">
        <f t="shared" si="7"/>
        <v>46026</v>
      </c>
      <c r="K188" s="15">
        <f t="shared" si="6"/>
        <v>112793.60000000001</v>
      </c>
      <c r="L188" s="14" t="str">
        <f>IF(H188="","Excluded - no order",IF(J188&lt;Assumptions!$B$3,"Pre-Q4",IF(J188&lt;=Assumptions!$B$4,"Q4 2025","Deferred Q1 2026")))</f>
        <v>Deferred Q1 2026</v>
      </c>
    </row>
    <row r="189" spans="1:12" ht="15" customHeight="1" x14ac:dyDescent="0.2">
      <c r="A189" s="14" t="s">
        <v>549</v>
      </c>
      <c r="B189" s="14" t="s">
        <v>548</v>
      </c>
      <c r="C189" s="18">
        <v>46030</v>
      </c>
      <c r="D189" s="18">
        <v>46038</v>
      </c>
      <c r="E189" s="14">
        <v>432</v>
      </c>
      <c r="F189" s="14" t="s">
        <v>112</v>
      </c>
      <c r="G189" s="14" t="s">
        <v>113</v>
      </c>
      <c r="H189" s="15">
        <f>IFERROR(VLOOKUP(B189,Orders!$A:$I,6,0),"")</f>
        <v>176.24</v>
      </c>
      <c r="I189" s="14" t="str">
        <f>IFERROR(VLOOKUP(B189,Orders!$A:$I,8,0),"")</f>
        <v>FOB Destination</v>
      </c>
      <c r="J189" s="16">
        <f t="shared" si="7"/>
        <v>46038</v>
      </c>
      <c r="K189" s="15">
        <f t="shared" si="6"/>
        <v>76135.680000000008</v>
      </c>
      <c r="L189" s="14" t="str">
        <f>IF(H189="","Excluded - no order",IF(J189&lt;Assumptions!$B$3,"Pre-Q4",IF(J189&lt;=Assumptions!$B$4,"Q4 2025","Deferred Q1 2026")))</f>
        <v>Deferred Q1 2026</v>
      </c>
    </row>
    <row r="190" spans="1:12" ht="15" customHeight="1" x14ac:dyDescent="0.2">
      <c r="A190" s="14" t="s">
        <v>550</v>
      </c>
      <c r="B190" s="14" t="s">
        <v>551</v>
      </c>
      <c r="C190" s="18">
        <v>45991</v>
      </c>
      <c r="D190" s="18">
        <v>45997</v>
      </c>
      <c r="E190" s="14">
        <v>287</v>
      </c>
      <c r="F190" s="14" t="s">
        <v>149</v>
      </c>
      <c r="G190" s="14" t="s">
        <v>150</v>
      </c>
      <c r="H190" s="15">
        <f>IFERROR(VLOOKUP(B190,Orders!$A:$I,6,0),"")</f>
        <v>481.21</v>
      </c>
      <c r="I190" s="14" t="str">
        <f>IFERROR(VLOOKUP(B190,Orders!$A:$I,8,0),"")</f>
        <v>FOB Shipping Point</v>
      </c>
      <c r="J190" s="16">
        <f t="shared" si="7"/>
        <v>45991</v>
      </c>
      <c r="K190" s="15">
        <f t="shared" si="6"/>
        <v>138107.26999999999</v>
      </c>
      <c r="L190" s="14" t="str">
        <f>IF(H190="","Excluded - no order",IF(J190&lt;Assumptions!$B$3,"Pre-Q4",IF(J190&lt;=Assumptions!$B$4,"Q4 2025","Deferred Q1 2026")))</f>
        <v>Q4 2025</v>
      </c>
    </row>
    <row r="191" spans="1:12" ht="15" customHeight="1" x14ac:dyDescent="0.2">
      <c r="A191" s="14" t="s">
        <v>552</v>
      </c>
      <c r="B191" s="14" t="s">
        <v>553</v>
      </c>
      <c r="C191" s="18">
        <v>45946</v>
      </c>
      <c r="D191" s="18">
        <v>45948</v>
      </c>
      <c r="E191" s="14">
        <v>623</v>
      </c>
      <c r="F191" s="14" t="s">
        <v>554</v>
      </c>
      <c r="G191" s="14" t="s">
        <v>555</v>
      </c>
      <c r="H191" s="15">
        <f>IFERROR(VLOOKUP(B191,Orders!$A:$I,6,0),"")</f>
        <v>320.11</v>
      </c>
      <c r="I191" s="14" t="str">
        <f>IFERROR(VLOOKUP(B191,Orders!$A:$I,8,0),"")</f>
        <v>FOB Destination</v>
      </c>
      <c r="J191" s="16">
        <f t="shared" si="7"/>
        <v>45948</v>
      </c>
      <c r="K191" s="15">
        <f t="shared" si="6"/>
        <v>199428.53</v>
      </c>
      <c r="L191" s="14" t="str">
        <f>IF(H191="","Excluded - no order",IF(J191&lt;Assumptions!$B$3,"Pre-Q4",IF(J191&lt;=Assumptions!$B$4,"Q4 2025","Deferred Q1 2026")))</f>
        <v>Q4 2025</v>
      </c>
    </row>
    <row r="192" spans="1:12" ht="15" customHeight="1" x14ac:dyDescent="0.2">
      <c r="A192" s="14" t="s">
        <v>556</v>
      </c>
      <c r="B192" s="14" t="s">
        <v>557</v>
      </c>
      <c r="C192" s="18">
        <v>45954</v>
      </c>
      <c r="D192" s="18">
        <v>45959</v>
      </c>
      <c r="E192" s="14">
        <v>214</v>
      </c>
      <c r="F192" s="14" t="s">
        <v>118</v>
      </c>
      <c r="G192" s="14" t="s">
        <v>119</v>
      </c>
      <c r="H192" s="15">
        <f>IFERROR(VLOOKUP(B192,Orders!$A:$I,6,0),"")</f>
        <v>65.510000000000005</v>
      </c>
      <c r="I192" s="14" t="str">
        <f>IFERROR(VLOOKUP(B192,Orders!$A:$I,8,0),"")</f>
        <v>FOB Destination</v>
      </c>
      <c r="J192" s="16">
        <f t="shared" si="7"/>
        <v>45959</v>
      </c>
      <c r="K192" s="15">
        <f t="shared" si="6"/>
        <v>14019.140000000001</v>
      </c>
      <c r="L192" s="14" t="str">
        <f>IF(H192="","Excluded - no order",IF(J192&lt;Assumptions!$B$3,"Pre-Q4",IF(J192&lt;=Assumptions!$B$4,"Q4 2025","Deferred Q1 2026")))</f>
        <v>Q4 2025</v>
      </c>
    </row>
    <row r="193" spans="1:12" ht="15" customHeight="1" x14ac:dyDescent="0.2">
      <c r="A193" s="14" t="s">
        <v>558</v>
      </c>
      <c r="B193" s="14" t="s">
        <v>557</v>
      </c>
      <c r="C193" s="18">
        <v>45956</v>
      </c>
      <c r="D193" s="18">
        <v>45961</v>
      </c>
      <c r="E193" s="14">
        <v>74</v>
      </c>
      <c r="F193" s="14" t="s">
        <v>122</v>
      </c>
      <c r="G193" s="14" t="s">
        <v>123</v>
      </c>
      <c r="H193" s="15">
        <f>IFERROR(VLOOKUP(B193,Orders!$A:$I,6,0),"")</f>
        <v>65.510000000000005</v>
      </c>
      <c r="I193" s="14" t="str">
        <f>IFERROR(VLOOKUP(B193,Orders!$A:$I,8,0),"")</f>
        <v>FOB Destination</v>
      </c>
      <c r="J193" s="16">
        <f t="shared" si="7"/>
        <v>45961</v>
      </c>
      <c r="K193" s="15">
        <f t="shared" si="6"/>
        <v>4847.7400000000007</v>
      </c>
      <c r="L193" s="14" t="str">
        <f>IF(H193="","Excluded - no order",IF(J193&lt;Assumptions!$B$3,"Pre-Q4",IF(J193&lt;=Assumptions!$B$4,"Q4 2025","Deferred Q1 2026")))</f>
        <v>Q4 2025</v>
      </c>
    </row>
    <row r="194" spans="1:12" ht="15" customHeight="1" x14ac:dyDescent="0.2">
      <c r="A194" s="14" t="s">
        <v>559</v>
      </c>
      <c r="B194" s="14" t="s">
        <v>560</v>
      </c>
      <c r="C194" s="18">
        <v>45993</v>
      </c>
      <c r="D194" s="18">
        <v>45997</v>
      </c>
      <c r="E194" s="14">
        <v>1612</v>
      </c>
      <c r="F194" s="14" t="s">
        <v>77</v>
      </c>
      <c r="G194" s="14" t="s">
        <v>78</v>
      </c>
      <c r="H194" s="15">
        <f>IFERROR(VLOOKUP(B194,Orders!$A:$I,6,0),"")</f>
        <v>314.5</v>
      </c>
      <c r="I194" s="14" t="str">
        <f>IFERROR(VLOOKUP(B194,Orders!$A:$I,8,0),"")</f>
        <v>FOB Shipping Point</v>
      </c>
      <c r="J194" s="16">
        <f t="shared" si="7"/>
        <v>45993</v>
      </c>
      <c r="K194" s="15">
        <f t="shared" ref="K194:K257" si="8">IF(H194="",0,E194*H194)</f>
        <v>506974</v>
      </c>
      <c r="L194" s="14" t="str">
        <f>IF(H194="","Excluded - no order",IF(J194&lt;Assumptions!$B$3,"Pre-Q4",IF(J194&lt;=Assumptions!$B$4,"Q4 2025","Deferred Q1 2026")))</f>
        <v>Q4 2025</v>
      </c>
    </row>
    <row r="195" spans="1:12" ht="15" customHeight="1" x14ac:dyDescent="0.2">
      <c r="A195" s="14" t="s">
        <v>561</v>
      </c>
      <c r="B195" s="14" t="s">
        <v>562</v>
      </c>
      <c r="C195" s="18">
        <v>46012</v>
      </c>
      <c r="D195" s="18">
        <v>46014</v>
      </c>
      <c r="E195" s="14">
        <v>1211</v>
      </c>
      <c r="F195" s="14" t="s">
        <v>73</v>
      </c>
      <c r="G195" s="14" t="s">
        <v>74</v>
      </c>
      <c r="H195" s="15">
        <f>IFERROR(VLOOKUP(B195,Orders!$A:$I,6,0),"")</f>
        <v>44.35</v>
      </c>
      <c r="I195" s="14" t="str">
        <f>IFERROR(VLOOKUP(B195,Orders!$A:$I,8,0),"")</f>
        <v>FOB Shipping Point</v>
      </c>
      <c r="J195" s="16">
        <f t="shared" si="7"/>
        <v>46012</v>
      </c>
      <c r="K195" s="15">
        <f t="shared" si="8"/>
        <v>53707.85</v>
      </c>
      <c r="L195" s="14" t="str">
        <f>IF(H195="","Excluded - no order",IF(J195&lt;Assumptions!$B$3,"Pre-Q4",IF(J195&lt;=Assumptions!$B$4,"Q4 2025","Deferred Q1 2026")))</f>
        <v>Q4 2025</v>
      </c>
    </row>
    <row r="196" spans="1:12" ht="15" customHeight="1" x14ac:dyDescent="0.2">
      <c r="A196" s="14" t="s">
        <v>563</v>
      </c>
      <c r="B196" s="14" t="s">
        <v>564</v>
      </c>
      <c r="C196" s="18">
        <v>46003</v>
      </c>
      <c r="D196" s="18">
        <v>46009</v>
      </c>
      <c r="E196" s="14">
        <v>231</v>
      </c>
      <c r="F196" s="14" t="s">
        <v>149</v>
      </c>
      <c r="G196" s="14" t="s">
        <v>150</v>
      </c>
      <c r="H196" s="15">
        <f>IFERROR(VLOOKUP(B196,Orders!$A:$I,6,0),"")</f>
        <v>460.69</v>
      </c>
      <c r="I196" s="14" t="str">
        <f>IFERROR(VLOOKUP(B196,Orders!$A:$I,8,0),"")</f>
        <v>FOB Shipping Point</v>
      </c>
      <c r="J196" s="16">
        <f t="shared" si="7"/>
        <v>46003</v>
      </c>
      <c r="K196" s="15">
        <f t="shared" si="8"/>
        <v>106419.39</v>
      </c>
      <c r="L196" s="14" t="str">
        <f>IF(H196="","Excluded - no order",IF(J196&lt;Assumptions!$B$3,"Pre-Q4",IF(J196&lt;=Assumptions!$B$4,"Q4 2025","Deferred Q1 2026")))</f>
        <v>Q4 2025</v>
      </c>
    </row>
    <row r="197" spans="1:12" ht="15" customHeight="1" x14ac:dyDescent="0.2">
      <c r="A197" s="14" t="s">
        <v>565</v>
      </c>
      <c r="B197" s="14" t="s">
        <v>564</v>
      </c>
      <c r="C197" s="18">
        <v>46005</v>
      </c>
      <c r="D197" s="18">
        <v>46011</v>
      </c>
      <c r="E197" s="14">
        <v>284</v>
      </c>
      <c r="F197" s="14" t="s">
        <v>73</v>
      </c>
      <c r="G197" s="14" t="s">
        <v>74</v>
      </c>
      <c r="H197" s="15">
        <f>IFERROR(VLOOKUP(B197,Orders!$A:$I,6,0),"")</f>
        <v>460.69</v>
      </c>
      <c r="I197" s="14" t="str">
        <f>IFERROR(VLOOKUP(B197,Orders!$A:$I,8,0),"")</f>
        <v>FOB Shipping Point</v>
      </c>
      <c r="J197" s="16">
        <f t="shared" si="7"/>
        <v>46005</v>
      </c>
      <c r="K197" s="15">
        <f t="shared" si="8"/>
        <v>130835.96</v>
      </c>
      <c r="L197" s="14" t="str">
        <f>IF(H197="","Excluded - no order",IF(J197&lt;Assumptions!$B$3,"Pre-Q4",IF(J197&lt;=Assumptions!$B$4,"Q4 2025","Deferred Q1 2026")))</f>
        <v>Q4 2025</v>
      </c>
    </row>
    <row r="198" spans="1:12" ht="15" customHeight="1" x14ac:dyDescent="0.2">
      <c r="A198" s="14" t="s">
        <v>566</v>
      </c>
      <c r="B198" s="14" t="s">
        <v>567</v>
      </c>
      <c r="C198" s="18">
        <v>45945</v>
      </c>
      <c r="D198" s="18">
        <v>45948</v>
      </c>
      <c r="E198" s="14">
        <v>796</v>
      </c>
      <c r="F198" s="14" t="s">
        <v>262</v>
      </c>
      <c r="G198" s="14" t="s">
        <v>263</v>
      </c>
      <c r="H198" s="15">
        <f>IFERROR(VLOOKUP(B198,Orders!$A:$I,6,0),"")</f>
        <v>187.55</v>
      </c>
      <c r="I198" s="14" t="str">
        <f>IFERROR(VLOOKUP(B198,Orders!$A:$I,8,0),"")</f>
        <v>FOB Destination</v>
      </c>
      <c r="J198" s="16">
        <f t="shared" si="7"/>
        <v>45948</v>
      </c>
      <c r="K198" s="15">
        <f t="shared" si="8"/>
        <v>149289.80000000002</v>
      </c>
      <c r="L198" s="14" t="str">
        <f>IF(H198="","Excluded - no order",IF(J198&lt;Assumptions!$B$3,"Pre-Q4",IF(J198&lt;=Assumptions!$B$4,"Q4 2025","Deferred Q1 2026")))</f>
        <v>Q4 2025</v>
      </c>
    </row>
    <row r="199" spans="1:12" ht="15" customHeight="1" x14ac:dyDescent="0.2">
      <c r="A199" s="14" t="s">
        <v>568</v>
      </c>
      <c r="B199" s="14" t="s">
        <v>569</v>
      </c>
      <c r="C199" s="18">
        <v>46022</v>
      </c>
      <c r="D199" s="18">
        <v>46028</v>
      </c>
      <c r="E199" s="14">
        <v>510</v>
      </c>
      <c r="F199" s="14" t="s">
        <v>100</v>
      </c>
      <c r="G199" s="14" t="s">
        <v>101</v>
      </c>
      <c r="H199" s="15">
        <f>IFERROR(VLOOKUP(B199,Orders!$A:$I,6,0),"")</f>
        <v>97.8</v>
      </c>
      <c r="I199" s="14" t="str">
        <f>IFERROR(VLOOKUP(B199,Orders!$A:$I,8,0),"")</f>
        <v>FOB Shipping Point</v>
      </c>
      <c r="J199" s="16">
        <f t="shared" ref="J199:J262" si="9">IF(I199="","",IF(I199="FOB Shipping Point",C199,D199))</f>
        <v>46022</v>
      </c>
      <c r="K199" s="15">
        <f t="shared" si="8"/>
        <v>49878</v>
      </c>
      <c r="L199" s="14" t="str">
        <f>IF(H199="","Excluded - no order",IF(J199&lt;Assumptions!$B$3,"Pre-Q4",IF(J199&lt;=Assumptions!$B$4,"Q4 2025","Deferred Q1 2026")))</f>
        <v>Q4 2025</v>
      </c>
    </row>
    <row r="200" spans="1:12" ht="15" customHeight="1" x14ac:dyDescent="0.2">
      <c r="A200" s="14" t="s">
        <v>570</v>
      </c>
      <c r="B200" s="14" t="s">
        <v>571</v>
      </c>
      <c r="C200" s="18">
        <v>45981</v>
      </c>
      <c r="D200" s="18">
        <v>45982</v>
      </c>
      <c r="E200" s="14">
        <v>736</v>
      </c>
      <c r="F200" s="14" t="s">
        <v>277</v>
      </c>
      <c r="G200" s="14" t="s">
        <v>278</v>
      </c>
      <c r="H200" s="15">
        <f>IFERROR(VLOOKUP(B200,Orders!$A:$I,6,0),"")</f>
        <v>164.35</v>
      </c>
      <c r="I200" s="14" t="str">
        <f>IFERROR(VLOOKUP(B200,Orders!$A:$I,8,0),"")</f>
        <v>FOB Destination</v>
      </c>
      <c r="J200" s="16">
        <f t="shared" si="9"/>
        <v>45982</v>
      </c>
      <c r="K200" s="15">
        <f t="shared" si="8"/>
        <v>120961.59999999999</v>
      </c>
      <c r="L200" s="14" t="str">
        <f>IF(H200="","Excluded - no order",IF(J200&lt;Assumptions!$B$3,"Pre-Q4",IF(J200&lt;=Assumptions!$B$4,"Q4 2025","Deferred Q1 2026")))</f>
        <v>Q4 2025</v>
      </c>
    </row>
    <row r="201" spans="1:12" ht="15" customHeight="1" x14ac:dyDescent="0.2">
      <c r="A201" s="14" t="s">
        <v>572</v>
      </c>
      <c r="B201" s="14" t="s">
        <v>573</v>
      </c>
      <c r="C201" s="18">
        <v>45955</v>
      </c>
      <c r="D201" s="18">
        <v>45957</v>
      </c>
      <c r="E201" s="14">
        <v>634</v>
      </c>
      <c r="F201" s="14" t="s">
        <v>149</v>
      </c>
      <c r="G201" s="14" t="s">
        <v>150</v>
      </c>
      <c r="H201" s="15">
        <f>IFERROR(VLOOKUP(B201,Orders!$A:$I,6,0),"")</f>
        <v>43.38</v>
      </c>
      <c r="I201" s="14" t="str">
        <f>IFERROR(VLOOKUP(B201,Orders!$A:$I,8,0),"")</f>
        <v>FOB Destination</v>
      </c>
      <c r="J201" s="16">
        <f t="shared" si="9"/>
        <v>45957</v>
      </c>
      <c r="K201" s="15">
        <f t="shared" si="8"/>
        <v>27502.920000000002</v>
      </c>
      <c r="L201" s="14" t="str">
        <f>IF(H201="","Excluded - no order",IF(J201&lt;Assumptions!$B$3,"Pre-Q4",IF(J201&lt;=Assumptions!$B$4,"Q4 2025","Deferred Q1 2026")))</f>
        <v>Q4 2025</v>
      </c>
    </row>
    <row r="202" spans="1:12" ht="15" customHeight="1" x14ac:dyDescent="0.2">
      <c r="A202" s="14" t="s">
        <v>574</v>
      </c>
      <c r="B202" s="14" t="s">
        <v>575</v>
      </c>
      <c r="C202" s="18">
        <v>46019</v>
      </c>
      <c r="D202" s="18">
        <v>46022</v>
      </c>
      <c r="E202" s="14">
        <v>355</v>
      </c>
      <c r="F202" s="14" t="s">
        <v>77</v>
      </c>
      <c r="G202" s="14" t="s">
        <v>78</v>
      </c>
      <c r="H202" s="15">
        <f>IFERROR(VLOOKUP(B202,Orders!$A:$I,6,0),"")</f>
        <v>496.2</v>
      </c>
      <c r="I202" s="14" t="str">
        <f>IFERROR(VLOOKUP(B202,Orders!$A:$I,8,0),"")</f>
        <v>FOB Destination</v>
      </c>
      <c r="J202" s="16">
        <f t="shared" si="9"/>
        <v>46022</v>
      </c>
      <c r="K202" s="15">
        <f t="shared" si="8"/>
        <v>176151</v>
      </c>
      <c r="L202" s="14" t="str">
        <f>IF(H202="","Excluded - no order",IF(J202&lt;Assumptions!$B$3,"Pre-Q4",IF(J202&lt;=Assumptions!$B$4,"Q4 2025","Deferred Q1 2026")))</f>
        <v>Q4 2025</v>
      </c>
    </row>
    <row r="203" spans="1:12" ht="15" customHeight="1" x14ac:dyDescent="0.2">
      <c r="A203" s="14" t="s">
        <v>576</v>
      </c>
      <c r="B203" s="14" t="s">
        <v>577</v>
      </c>
      <c r="C203" s="18">
        <v>45990</v>
      </c>
      <c r="D203" s="18">
        <v>45992</v>
      </c>
      <c r="E203" s="14">
        <v>438</v>
      </c>
      <c r="F203" s="14" t="s">
        <v>100</v>
      </c>
      <c r="G203" s="14" t="s">
        <v>101</v>
      </c>
      <c r="H203" s="15">
        <f>IFERROR(VLOOKUP(B203,Orders!$A:$I,6,0),"")</f>
        <v>470.93</v>
      </c>
      <c r="I203" s="14" t="str">
        <f>IFERROR(VLOOKUP(B203,Orders!$A:$I,8,0),"")</f>
        <v>FOB Destination</v>
      </c>
      <c r="J203" s="16">
        <f t="shared" si="9"/>
        <v>45992</v>
      </c>
      <c r="K203" s="15">
        <f t="shared" si="8"/>
        <v>206267.34</v>
      </c>
      <c r="L203" s="14" t="str">
        <f>IF(H203="","Excluded - no order",IF(J203&lt;Assumptions!$B$3,"Pre-Q4",IF(J203&lt;=Assumptions!$B$4,"Q4 2025","Deferred Q1 2026")))</f>
        <v>Q4 2025</v>
      </c>
    </row>
    <row r="204" spans="1:12" ht="15" customHeight="1" x14ac:dyDescent="0.2">
      <c r="A204" s="14" t="s">
        <v>578</v>
      </c>
      <c r="B204" s="14" t="s">
        <v>577</v>
      </c>
      <c r="C204" s="18">
        <v>45992</v>
      </c>
      <c r="D204" s="18">
        <v>45994</v>
      </c>
      <c r="E204" s="14">
        <v>467</v>
      </c>
      <c r="F204" s="14" t="s">
        <v>112</v>
      </c>
      <c r="G204" s="14" t="s">
        <v>113</v>
      </c>
      <c r="H204" s="15">
        <f>IFERROR(VLOOKUP(B204,Orders!$A:$I,6,0),"")</f>
        <v>470.93</v>
      </c>
      <c r="I204" s="14" t="str">
        <f>IFERROR(VLOOKUP(B204,Orders!$A:$I,8,0),"")</f>
        <v>FOB Destination</v>
      </c>
      <c r="J204" s="16">
        <f t="shared" si="9"/>
        <v>45994</v>
      </c>
      <c r="K204" s="15">
        <f t="shared" si="8"/>
        <v>219924.31</v>
      </c>
      <c r="L204" s="14" t="str">
        <f>IF(H204="","Excluded - no order",IF(J204&lt;Assumptions!$B$3,"Pre-Q4",IF(J204&lt;=Assumptions!$B$4,"Q4 2025","Deferred Q1 2026")))</f>
        <v>Q4 2025</v>
      </c>
    </row>
    <row r="205" spans="1:12" ht="15" customHeight="1" x14ac:dyDescent="0.2">
      <c r="A205" s="14" t="s">
        <v>579</v>
      </c>
      <c r="B205" s="14" t="s">
        <v>580</v>
      </c>
      <c r="C205" s="18">
        <v>46001</v>
      </c>
      <c r="D205" s="18">
        <v>46003</v>
      </c>
      <c r="E205" s="14">
        <v>429</v>
      </c>
      <c r="F205" s="14" t="s">
        <v>73</v>
      </c>
      <c r="G205" s="14" t="s">
        <v>74</v>
      </c>
      <c r="H205" s="15">
        <f>IFERROR(VLOOKUP(B205,Orders!$A:$I,6,0),"")</f>
        <v>51.88</v>
      </c>
      <c r="I205" s="14" t="str">
        <f>IFERROR(VLOOKUP(B205,Orders!$A:$I,8,0),"")</f>
        <v>FOB Shipping Point</v>
      </c>
      <c r="J205" s="16">
        <f t="shared" si="9"/>
        <v>46001</v>
      </c>
      <c r="K205" s="15">
        <f t="shared" si="8"/>
        <v>22256.52</v>
      </c>
      <c r="L205" s="14" t="str">
        <f>IF(H205="","Excluded - no order",IF(J205&lt;Assumptions!$B$3,"Pre-Q4",IF(J205&lt;=Assumptions!$B$4,"Q4 2025","Deferred Q1 2026")))</f>
        <v>Q4 2025</v>
      </c>
    </row>
    <row r="206" spans="1:12" ht="15" customHeight="1" x14ac:dyDescent="0.2">
      <c r="A206" s="14" t="s">
        <v>581</v>
      </c>
      <c r="B206" s="14" t="s">
        <v>582</v>
      </c>
      <c r="C206" s="18">
        <v>46019</v>
      </c>
      <c r="D206" s="18">
        <v>46029</v>
      </c>
      <c r="E206" s="14">
        <v>1581</v>
      </c>
      <c r="F206" s="14" t="s">
        <v>100</v>
      </c>
      <c r="G206" s="14" t="s">
        <v>101</v>
      </c>
      <c r="H206" s="15">
        <f>IFERROR(VLOOKUP(B206,Orders!$A:$I,6,0),"")</f>
        <v>241.26</v>
      </c>
      <c r="I206" s="14" t="str">
        <f>IFERROR(VLOOKUP(B206,Orders!$A:$I,8,0),"")</f>
        <v>FOB Destination</v>
      </c>
      <c r="J206" s="16">
        <f t="shared" si="9"/>
        <v>46029</v>
      </c>
      <c r="K206" s="15">
        <f t="shared" si="8"/>
        <v>381432.06</v>
      </c>
      <c r="L206" s="14" t="str">
        <f>IF(H206="","Excluded - no order",IF(J206&lt;Assumptions!$B$3,"Pre-Q4",IF(J206&lt;=Assumptions!$B$4,"Q4 2025","Deferred Q1 2026")))</f>
        <v>Deferred Q1 2026</v>
      </c>
    </row>
    <row r="207" spans="1:12" ht="15" customHeight="1" x14ac:dyDescent="0.2">
      <c r="A207" s="14" t="s">
        <v>583</v>
      </c>
      <c r="B207" s="14" t="s">
        <v>584</v>
      </c>
      <c r="C207" s="18">
        <v>46003</v>
      </c>
      <c r="D207" s="18">
        <v>46007</v>
      </c>
      <c r="E207" s="14">
        <v>504</v>
      </c>
      <c r="F207" s="14" t="s">
        <v>112</v>
      </c>
      <c r="G207" s="14" t="s">
        <v>113</v>
      </c>
      <c r="H207" s="15">
        <f>IFERROR(VLOOKUP(B207,Orders!$A:$I,6,0),"")</f>
        <v>147.5</v>
      </c>
      <c r="I207" s="14" t="str">
        <f>IFERROR(VLOOKUP(B207,Orders!$A:$I,8,0),"")</f>
        <v>FOB Destination</v>
      </c>
      <c r="J207" s="16">
        <f t="shared" si="9"/>
        <v>46007</v>
      </c>
      <c r="K207" s="15">
        <f t="shared" si="8"/>
        <v>74340</v>
      </c>
      <c r="L207" s="14" t="str">
        <f>IF(H207="","Excluded - no order",IF(J207&lt;Assumptions!$B$3,"Pre-Q4",IF(J207&lt;=Assumptions!$B$4,"Q4 2025","Deferred Q1 2026")))</f>
        <v>Q4 2025</v>
      </c>
    </row>
    <row r="208" spans="1:12" ht="15" customHeight="1" x14ac:dyDescent="0.2">
      <c r="A208" s="14" t="s">
        <v>585</v>
      </c>
      <c r="B208" s="14" t="s">
        <v>586</v>
      </c>
      <c r="C208" s="18">
        <v>46001</v>
      </c>
      <c r="D208" s="18">
        <v>46004</v>
      </c>
      <c r="E208" s="14">
        <v>805</v>
      </c>
      <c r="F208" s="14" t="s">
        <v>118</v>
      </c>
      <c r="G208" s="14" t="s">
        <v>119</v>
      </c>
      <c r="H208" s="15">
        <f>IFERROR(VLOOKUP(B208,Orders!$A:$I,6,0),"")</f>
        <v>427.21</v>
      </c>
      <c r="I208" s="14" t="str">
        <f>IFERROR(VLOOKUP(B208,Orders!$A:$I,8,0),"")</f>
        <v>FOB Shipping Point</v>
      </c>
      <c r="J208" s="16">
        <f t="shared" si="9"/>
        <v>46001</v>
      </c>
      <c r="K208" s="15">
        <f t="shared" si="8"/>
        <v>343904.05</v>
      </c>
      <c r="L208" s="14" t="str">
        <f>IF(H208="","Excluded - no order",IF(J208&lt;Assumptions!$B$3,"Pre-Q4",IF(J208&lt;=Assumptions!$B$4,"Q4 2025","Deferred Q1 2026")))</f>
        <v>Q4 2025</v>
      </c>
    </row>
    <row r="209" spans="1:12" ht="15" customHeight="1" x14ac:dyDescent="0.2">
      <c r="A209" s="14" t="s">
        <v>587</v>
      </c>
      <c r="B209" s="14" t="s">
        <v>588</v>
      </c>
      <c r="C209" s="18">
        <v>46006</v>
      </c>
      <c r="D209" s="18">
        <v>46012</v>
      </c>
      <c r="E209" s="14">
        <v>769</v>
      </c>
      <c r="F209" s="14" t="s">
        <v>112</v>
      </c>
      <c r="G209" s="14" t="s">
        <v>113</v>
      </c>
      <c r="H209" s="15">
        <f>IFERROR(VLOOKUP(B209,Orders!$A:$I,6,0),"")</f>
        <v>460.42</v>
      </c>
      <c r="I209" s="14" t="str">
        <f>IFERROR(VLOOKUP(B209,Orders!$A:$I,8,0),"")</f>
        <v>FOB Destination</v>
      </c>
      <c r="J209" s="16">
        <f t="shared" si="9"/>
        <v>46012</v>
      </c>
      <c r="K209" s="15">
        <f t="shared" si="8"/>
        <v>354062.98000000004</v>
      </c>
      <c r="L209" s="14" t="str">
        <f>IF(H209="","Excluded - no order",IF(J209&lt;Assumptions!$B$3,"Pre-Q4",IF(J209&lt;=Assumptions!$B$4,"Q4 2025","Deferred Q1 2026")))</f>
        <v>Q4 2025</v>
      </c>
    </row>
    <row r="210" spans="1:12" ht="15" customHeight="1" x14ac:dyDescent="0.2">
      <c r="A210" s="14" t="s">
        <v>589</v>
      </c>
      <c r="B210" s="14" t="s">
        <v>588</v>
      </c>
      <c r="C210" s="18">
        <v>46008</v>
      </c>
      <c r="D210" s="18">
        <v>46014</v>
      </c>
      <c r="E210" s="14">
        <v>496</v>
      </c>
      <c r="F210" s="14" t="s">
        <v>118</v>
      </c>
      <c r="G210" s="14" t="s">
        <v>119</v>
      </c>
      <c r="H210" s="15">
        <f>IFERROR(VLOOKUP(B210,Orders!$A:$I,6,0),"")</f>
        <v>460.42</v>
      </c>
      <c r="I210" s="14" t="str">
        <f>IFERROR(VLOOKUP(B210,Orders!$A:$I,8,0),"")</f>
        <v>FOB Destination</v>
      </c>
      <c r="J210" s="16">
        <f t="shared" si="9"/>
        <v>46014</v>
      </c>
      <c r="K210" s="15">
        <f t="shared" si="8"/>
        <v>228368.32</v>
      </c>
      <c r="L210" s="14" t="str">
        <f>IF(H210="","Excluded - no order",IF(J210&lt;Assumptions!$B$3,"Pre-Q4",IF(J210&lt;=Assumptions!$B$4,"Q4 2025","Deferred Q1 2026")))</f>
        <v>Q4 2025</v>
      </c>
    </row>
    <row r="211" spans="1:12" ht="15" customHeight="1" x14ac:dyDescent="0.2">
      <c r="A211" s="14" t="s">
        <v>590</v>
      </c>
      <c r="B211" s="14" t="s">
        <v>591</v>
      </c>
      <c r="C211" s="18">
        <v>46005</v>
      </c>
      <c r="D211" s="18">
        <v>46006</v>
      </c>
      <c r="E211" s="14">
        <v>792</v>
      </c>
      <c r="F211" s="14" t="s">
        <v>77</v>
      </c>
      <c r="G211" s="14" t="s">
        <v>78</v>
      </c>
      <c r="H211" s="15">
        <f>IFERROR(VLOOKUP(B211,Orders!$A:$I,6,0),"")</f>
        <v>429.77</v>
      </c>
      <c r="I211" s="14" t="str">
        <f>IFERROR(VLOOKUP(B211,Orders!$A:$I,8,0),"")</f>
        <v>FOB Destination</v>
      </c>
      <c r="J211" s="16">
        <f t="shared" si="9"/>
        <v>46006</v>
      </c>
      <c r="K211" s="15">
        <f t="shared" si="8"/>
        <v>340377.83999999997</v>
      </c>
      <c r="L211" s="14" t="str">
        <f>IF(H211="","Excluded - no order",IF(J211&lt;Assumptions!$B$3,"Pre-Q4",IF(J211&lt;=Assumptions!$B$4,"Q4 2025","Deferred Q1 2026")))</f>
        <v>Q4 2025</v>
      </c>
    </row>
    <row r="212" spans="1:12" ht="15" customHeight="1" x14ac:dyDescent="0.2">
      <c r="A212" s="14" t="s">
        <v>592</v>
      </c>
      <c r="B212" s="14" t="s">
        <v>593</v>
      </c>
      <c r="C212" s="18">
        <v>46012</v>
      </c>
      <c r="D212" s="18">
        <v>46018</v>
      </c>
      <c r="E212" s="14">
        <v>568</v>
      </c>
      <c r="F212" s="14" t="s">
        <v>594</v>
      </c>
      <c r="G212" s="14" t="s">
        <v>595</v>
      </c>
      <c r="H212" s="15">
        <f>IFERROR(VLOOKUP(B212,Orders!$A:$I,6,0),"")</f>
        <v>465.7</v>
      </c>
      <c r="I212" s="14" t="str">
        <f>IFERROR(VLOOKUP(B212,Orders!$A:$I,8,0),"")</f>
        <v>FOB Shipping Point</v>
      </c>
      <c r="J212" s="16">
        <f t="shared" si="9"/>
        <v>46012</v>
      </c>
      <c r="K212" s="15">
        <f t="shared" si="8"/>
        <v>264517.59999999998</v>
      </c>
      <c r="L212" s="14" t="str">
        <f>IF(H212="","Excluded - no order",IF(J212&lt;Assumptions!$B$3,"Pre-Q4",IF(J212&lt;=Assumptions!$B$4,"Q4 2025","Deferred Q1 2026")))</f>
        <v>Q4 2025</v>
      </c>
    </row>
    <row r="213" spans="1:12" ht="15" customHeight="1" x14ac:dyDescent="0.2">
      <c r="A213" s="14" t="s">
        <v>596</v>
      </c>
      <c r="B213" s="14" t="s">
        <v>593</v>
      </c>
      <c r="C213" s="18">
        <v>46014</v>
      </c>
      <c r="D213" s="18">
        <v>46020</v>
      </c>
      <c r="E213" s="14">
        <v>239</v>
      </c>
      <c r="F213" s="14" t="s">
        <v>597</v>
      </c>
      <c r="G213" s="14" t="s">
        <v>598</v>
      </c>
      <c r="H213" s="15">
        <f>IFERROR(VLOOKUP(B213,Orders!$A:$I,6,0),"")</f>
        <v>465.7</v>
      </c>
      <c r="I213" s="14" t="str">
        <f>IFERROR(VLOOKUP(B213,Orders!$A:$I,8,0),"")</f>
        <v>FOB Shipping Point</v>
      </c>
      <c r="J213" s="16">
        <f t="shared" si="9"/>
        <v>46014</v>
      </c>
      <c r="K213" s="15">
        <f t="shared" si="8"/>
        <v>111302.3</v>
      </c>
      <c r="L213" s="14" t="str">
        <f>IF(H213="","Excluded - no order",IF(J213&lt;Assumptions!$B$3,"Pre-Q4",IF(J213&lt;=Assumptions!$B$4,"Q4 2025","Deferred Q1 2026")))</f>
        <v>Q4 2025</v>
      </c>
    </row>
    <row r="214" spans="1:12" ht="15" customHeight="1" x14ac:dyDescent="0.2">
      <c r="A214" s="14" t="s">
        <v>599</v>
      </c>
      <c r="B214" s="14" t="s">
        <v>600</v>
      </c>
      <c r="C214" s="18">
        <v>45992</v>
      </c>
      <c r="D214" s="18">
        <v>45997</v>
      </c>
      <c r="E214" s="14">
        <v>1150</v>
      </c>
      <c r="F214" s="14" t="s">
        <v>77</v>
      </c>
      <c r="G214" s="14" t="s">
        <v>78</v>
      </c>
      <c r="H214" s="15">
        <f>IFERROR(VLOOKUP(B214,Orders!$A:$I,6,0),"")</f>
        <v>304.49</v>
      </c>
      <c r="I214" s="14" t="str">
        <f>IFERROR(VLOOKUP(B214,Orders!$A:$I,8,0),"")</f>
        <v>FOB Shipping Point</v>
      </c>
      <c r="J214" s="16">
        <f t="shared" si="9"/>
        <v>45992</v>
      </c>
      <c r="K214" s="15">
        <f t="shared" si="8"/>
        <v>350163.5</v>
      </c>
      <c r="L214" s="14" t="str">
        <f>IF(H214="","Excluded - no order",IF(J214&lt;Assumptions!$B$3,"Pre-Q4",IF(J214&lt;=Assumptions!$B$4,"Q4 2025","Deferred Q1 2026")))</f>
        <v>Q4 2025</v>
      </c>
    </row>
    <row r="215" spans="1:12" ht="15" customHeight="1" x14ac:dyDescent="0.2">
      <c r="A215" s="14" t="s">
        <v>601</v>
      </c>
      <c r="B215" s="14" t="s">
        <v>602</v>
      </c>
      <c r="C215" s="18">
        <v>45983</v>
      </c>
      <c r="D215" s="18">
        <v>45988</v>
      </c>
      <c r="E215" s="14">
        <v>1248</v>
      </c>
      <c r="F215" s="14" t="s">
        <v>603</v>
      </c>
      <c r="G215" s="14" t="s">
        <v>604</v>
      </c>
      <c r="H215" s="15">
        <f>IFERROR(VLOOKUP(B215,Orders!$A:$I,6,0),"")</f>
        <v>281.89999999999998</v>
      </c>
      <c r="I215" s="14" t="str">
        <f>IFERROR(VLOOKUP(B215,Orders!$A:$I,8,0),"")</f>
        <v>FOB Shipping Point</v>
      </c>
      <c r="J215" s="16">
        <f t="shared" si="9"/>
        <v>45983</v>
      </c>
      <c r="K215" s="15">
        <f t="shared" si="8"/>
        <v>351811.19999999995</v>
      </c>
      <c r="L215" s="14" t="str">
        <f>IF(H215="","Excluded - no order",IF(J215&lt;Assumptions!$B$3,"Pre-Q4",IF(J215&lt;=Assumptions!$B$4,"Q4 2025","Deferred Q1 2026")))</f>
        <v>Q4 2025</v>
      </c>
    </row>
    <row r="216" spans="1:12" ht="15" customHeight="1" x14ac:dyDescent="0.2">
      <c r="A216" s="14" t="s">
        <v>605</v>
      </c>
      <c r="B216" s="14" t="s">
        <v>606</v>
      </c>
      <c r="C216" s="18">
        <v>46001</v>
      </c>
      <c r="D216" s="18">
        <v>46007</v>
      </c>
      <c r="E216" s="14">
        <v>1325</v>
      </c>
      <c r="F216" s="14" t="s">
        <v>77</v>
      </c>
      <c r="G216" s="14" t="s">
        <v>78</v>
      </c>
      <c r="H216" s="15">
        <f>IFERROR(VLOOKUP(B216,Orders!$A:$I,6,0),"")</f>
        <v>25.19</v>
      </c>
      <c r="I216" s="14" t="str">
        <f>IFERROR(VLOOKUP(B216,Orders!$A:$I,8,0),"")</f>
        <v>FOB Destination</v>
      </c>
      <c r="J216" s="16">
        <f t="shared" si="9"/>
        <v>46007</v>
      </c>
      <c r="K216" s="15">
        <f t="shared" si="8"/>
        <v>33376.75</v>
      </c>
      <c r="L216" s="14" t="str">
        <f>IF(H216="","Excluded - no order",IF(J216&lt;Assumptions!$B$3,"Pre-Q4",IF(J216&lt;=Assumptions!$B$4,"Q4 2025","Deferred Q1 2026")))</f>
        <v>Q4 2025</v>
      </c>
    </row>
    <row r="217" spans="1:12" ht="15" customHeight="1" x14ac:dyDescent="0.2">
      <c r="A217" s="14" t="s">
        <v>607</v>
      </c>
      <c r="B217" s="14" t="s">
        <v>608</v>
      </c>
      <c r="C217" s="18">
        <v>46021</v>
      </c>
      <c r="D217" s="18">
        <v>46022</v>
      </c>
      <c r="E217" s="14">
        <v>101</v>
      </c>
      <c r="F217" s="14" t="s">
        <v>284</v>
      </c>
      <c r="G217" s="14" t="s">
        <v>285</v>
      </c>
      <c r="H217" s="15">
        <f>IFERROR(VLOOKUP(B217,Orders!$A:$I,6,0),"")</f>
        <v>135.08000000000001</v>
      </c>
      <c r="I217" s="14" t="str">
        <f>IFERROR(VLOOKUP(B217,Orders!$A:$I,8,0),"")</f>
        <v>FOB Shipping Point</v>
      </c>
      <c r="J217" s="16">
        <f t="shared" si="9"/>
        <v>46021</v>
      </c>
      <c r="K217" s="15">
        <f t="shared" si="8"/>
        <v>13643.080000000002</v>
      </c>
      <c r="L217" s="14" t="str">
        <f>IF(H217="","Excluded - no order",IF(J217&lt;Assumptions!$B$3,"Pre-Q4",IF(J217&lt;=Assumptions!$B$4,"Q4 2025","Deferred Q1 2026")))</f>
        <v>Q4 2025</v>
      </c>
    </row>
    <row r="218" spans="1:12" ht="15" customHeight="1" x14ac:dyDescent="0.2">
      <c r="A218" s="14" t="s">
        <v>609</v>
      </c>
      <c r="B218" s="14" t="s">
        <v>610</v>
      </c>
      <c r="C218" s="18">
        <v>45990</v>
      </c>
      <c r="D218" s="18">
        <v>45995</v>
      </c>
      <c r="E218" s="14">
        <v>1252</v>
      </c>
      <c r="F218" s="14" t="s">
        <v>122</v>
      </c>
      <c r="G218" s="14" t="s">
        <v>123</v>
      </c>
      <c r="H218" s="15">
        <f>IFERROR(VLOOKUP(B218,Orders!$A:$I,6,0),"")</f>
        <v>346.07</v>
      </c>
      <c r="I218" s="14" t="str">
        <f>IFERROR(VLOOKUP(B218,Orders!$A:$I,8,0),"")</f>
        <v>FOB Destination</v>
      </c>
      <c r="J218" s="16">
        <f t="shared" si="9"/>
        <v>45995</v>
      </c>
      <c r="K218" s="15">
        <f t="shared" si="8"/>
        <v>433279.64</v>
      </c>
      <c r="L218" s="14" t="str">
        <f>IF(H218="","Excluded - no order",IF(J218&lt;Assumptions!$B$3,"Pre-Q4",IF(J218&lt;=Assumptions!$B$4,"Q4 2025","Deferred Q1 2026")))</f>
        <v>Q4 2025</v>
      </c>
    </row>
    <row r="219" spans="1:12" ht="15" customHeight="1" x14ac:dyDescent="0.2">
      <c r="A219" s="14" t="s">
        <v>611</v>
      </c>
      <c r="B219" s="14" t="s">
        <v>612</v>
      </c>
      <c r="C219" s="18">
        <v>46021</v>
      </c>
      <c r="D219" s="18">
        <v>46022</v>
      </c>
      <c r="E219" s="14">
        <v>101</v>
      </c>
      <c r="F219" s="14" t="s">
        <v>613</v>
      </c>
      <c r="G219" s="14" t="s">
        <v>614</v>
      </c>
      <c r="H219" s="15">
        <f>IFERROR(VLOOKUP(B219,Orders!$A:$I,6,0),"")</f>
        <v>148.61000000000001</v>
      </c>
      <c r="I219" s="14" t="str">
        <f>IFERROR(VLOOKUP(B219,Orders!$A:$I,8,0),"")</f>
        <v>FOB Shipping Point</v>
      </c>
      <c r="J219" s="16">
        <f t="shared" si="9"/>
        <v>46021</v>
      </c>
      <c r="K219" s="15">
        <f t="shared" si="8"/>
        <v>15009.61</v>
      </c>
      <c r="L219" s="14" t="str">
        <f>IF(H219="","Excluded - no order",IF(J219&lt;Assumptions!$B$3,"Pre-Q4",IF(J219&lt;=Assumptions!$B$4,"Q4 2025","Deferred Q1 2026")))</f>
        <v>Q4 2025</v>
      </c>
    </row>
    <row r="220" spans="1:12" ht="15" customHeight="1" x14ac:dyDescent="0.2">
      <c r="A220" s="14" t="s">
        <v>615</v>
      </c>
      <c r="B220" s="14" t="s">
        <v>616</v>
      </c>
      <c r="C220" s="18">
        <v>46006</v>
      </c>
      <c r="D220" s="18">
        <v>46008</v>
      </c>
      <c r="E220" s="14">
        <v>777</v>
      </c>
      <c r="F220" s="14" t="s">
        <v>292</v>
      </c>
      <c r="G220" s="14" t="s">
        <v>293</v>
      </c>
      <c r="H220" s="15">
        <f>IFERROR(VLOOKUP(B220,Orders!$A:$I,6,0),"")</f>
        <v>152.09</v>
      </c>
      <c r="I220" s="14" t="str">
        <f>IFERROR(VLOOKUP(B220,Orders!$A:$I,8,0),"")</f>
        <v>FOB Destination</v>
      </c>
      <c r="J220" s="16">
        <f t="shared" si="9"/>
        <v>46008</v>
      </c>
      <c r="K220" s="15">
        <f t="shared" si="8"/>
        <v>118173.93000000001</v>
      </c>
      <c r="L220" s="14" t="str">
        <f>IF(H220="","Excluded - no order",IF(J220&lt;Assumptions!$B$3,"Pre-Q4",IF(J220&lt;=Assumptions!$B$4,"Q4 2025","Deferred Q1 2026")))</f>
        <v>Q4 2025</v>
      </c>
    </row>
    <row r="221" spans="1:12" ht="15" customHeight="1" x14ac:dyDescent="0.2">
      <c r="A221" s="14" t="s">
        <v>617</v>
      </c>
      <c r="B221" s="14" t="s">
        <v>618</v>
      </c>
      <c r="C221" s="18">
        <v>45993</v>
      </c>
      <c r="D221" s="18">
        <v>45994</v>
      </c>
      <c r="E221" s="14">
        <v>356</v>
      </c>
      <c r="F221" s="14" t="s">
        <v>77</v>
      </c>
      <c r="G221" s="14" t="s">
        <v>78</v>
      </c>
      <c r="H221" s="15">
        <f>IFERROR(VLOOKUP(B221,Orders!$A:$I,6,0),"")</f>
        <v>11.59</v>
      </c>
      <c r="I221" s="14" t="str">
        <f>IFERROR(VLOOKUP(B221,Orders!$A:$I,8,0),"")</f>
        <v>FOB Destination</v>
      </c>
      <c r="J221" s="16">
        <f t="shared" si="9"/>
        <v>45994</v>
      </c>
      <c r="K221" s="15">
        <f t="shared" si="8"/>
        <v>4126.04</v>
      </c>
      <c r="L221" s="14" t="str">
        <f>IF(H221="","Excluded - no order",IF(J221&lt;Assumptions!$B$3,"Pre-Q4",IF(J221&lt;=Assumptions!$B$4,"Q4 2025","Deferred Q1 2026")))</f>
        <v>Q4 2025</v>
      </c>
    </row>
    <row r="222" spans="1:12" ht="15" customHeight="1" x14ac:dyDescent="0.2">
      <c r="A222" s="14" t="s">
        <v>619</v>
      </c>
      <c r="B222" s="14" t="s">
        <v>618</v>
      </c>
      <c r="C222" s="18">
        <v>45995</v>
      </c>
      <c r="D222" s="18">
        <v>45996</v>
      </c>
      <c r="E222" s="14">
        <v>312</v>
      </c>
      <c r="F222" s="14" t="s">
        <v>77</v>
      </c>
      <c r="G222" s="14" t="s">
        <v>78</v>
      </c>
      <c r="H222" s="15">
        <f>IFERROR(VLOOKUP(B222,Orders!$A:$I,6,0),"")</f>
        <v>11.59</v>
      </c>
      <c r="I222" s="14" t="str">
        <f>IFERROR(VLOOKUP(B222,Orders!$A:$I,8,0),"")</f>
        <v>FOB Destination</v>
      </c>
      <c r="J222" s="16">
        <f t="shared" si="9"/>
        <v>45996</v>
      </c>
      <c r="K222" s="15">
        <f t="shared" si="8"/>
        <v>3616.08</v>
      </c>
      <c r="L222" s="14" t="str">
        <f>IF(H222="","Excluded - no order",IF(J222&lt;Assumptions!$B$3,"Pre-Q4",IF(J222&lt;=Assumptions!$B$4,"Q4 2025","Deferred Q1 2026")))</f>
        <v>Q4 2025</v>
      </c>
    </row>
    <row r="223" spans="1:12" ht="15" customHeight="1" x14ac:dyDescent="0.2">
      <c r="A223" s="14" t="s">
        <v>620</v>
      </c>
      <c r="B223" s="14" t="s">
        <v>621</v>
      </c>
      <c r="C223" s="18">
        <v>45984</v>
      </c>
      <c r="D223" s="18">
        <v>45988</v>
      </c>
      <c r="E223" s="14">
        <v>1170</v>
      </c>
      <c r="F223" s="14" t="s">
        <v>149</v>
      </c>
      <c r="G223" s="14" t="s">
        <v>150</v>
      </c>
      <c r="H223" s="15">
        <f>IFERROR(VLOOKUP(B223,Orders!$A:$I,6,0),"")</f>
        <v>398.07</v>
      </c>
      <c r="I223" s="14" t="str">
        <f>IFERROR(VLOOKUP(B223,Orders!$A:$I,8,0),"")</f>
        <v>FOB Shipping Point</v>
      </c>
      <c r="J223" s="16">
        <f t="shared" si="9"/>
        <v>45984</v>
      </c>
      <c r="K223" s="15">
        <f t="shared" si="8"/>
        <v>465741.89999999997</v>
      </c>
      <c r="L223" s="14" t="str">
        <f>IF(H223="","Excluded - no order",IF(J223&lt;Assumptions!$B$3,"Pre-Q4",IF(J223&lt;=Assumptions!$B$4,"Q4 2025","Deferred Q1 2026")))</f>
        <v>Q4 2025</v>
      </c>
    </row>
    <row r="224" spans="1:12" ht="15" customHeight="1" x14ac:dyDescent="0.2">
      <c r="A224" s="14" t="s">
        <v>622</v>
      </c>
      <c r="B224" s="14" t="s">
        <v>623</v>
      </c>
      <c r="C224" s="18">
        <v>46005</v>
      </c>
      <c r="D224" s="18">
        <v>46010</v>
      </c>
      <c r="E224" s="14">
        <v>819</v>
      </c>
      <c r="F224" s="14" t="s">
        <v>122</v>
      </c>
      <c r="G224" s="14" t="s">
        <v>123</v>
      </c>
      <c r="H224" s="15">
        <f>IFERROR(VLOOKUP(B224,Orders!$A:$I,6,0),"")</f>
        <v>474.16</v>
      </c>
      <c r="I224" s="14" t="str">
        <f>IFERROR(VLOOKUP(B224,Orders!$A:$I,8,0),"")</f>
        <v>FOB Shipping Point</v>
      </c>
      <c r="J224" s="16">
        <f t="shared" si="9"/>
        <v>46005</v>
      </c>
      <c r="K224" s="15">
        <f t="shared" si="8"/>
        <v>388337.04000000004</v>
      </c>
      <c r="L224" s="14" t="str">
        <f>IF(H224="","Excluded - no order",IF(J224&lt;Assumptions!$B$3,"Pre-Q4",IF(J224&lt;=Assumptions!$B$4,"Q4 2025","Deferred Q1 2026")))</f>
        <v>Q4 2025</v>
      </c>
    </row>
    <row r="225" spans="1:12" ht="15" customHeight="1" x14ac:dyDescent="0.2">
      <c r="A225" s="14" t="s">
        <v>624</v>
      </c>
      <c r="B225" s="14" t="s">
        <v>625</v>
      </c>
      <c r="C225" s="18">
        <v>45957</v>
      </c>
      <c r="D225" s="18">
        <v>45960</v>
      </c>
      <c r="E225" s="14">
        <v>388</v>
      </c>
      <c r="F225" s="14" t="s">
        <v>77</v>
      </c>
      <c r="G225" s="14" t="s">
        <v>78</v>
      </c>
      <c r="H225" s="15">
        <f>IFERROR(VLOOKUP(B225,Orders!$A:$I,6,0),"")</f>
        <v>45.3</v>
      </c>
      <c r="I225" s="14" t="str">
        <f>IFERROR(VLOOKUP(B225,Orders!$A:$I,8,0),"")</f>
        <v>FOB Destination</v>
      </c>
      <c r="J225" s="16">
        <f t="shared" si="9"/>
        <v>45960</v>
      </c>
      <c r="K225" s="15">
        <f t="shared" si="8"/>
        <v>17576.399999999998</v>
      </c>
      <c r="L225" s="14" t="str">
        <f>IF(H225="","Excluded - no order",IF(J225&lt;Assumptions!$B$3,"Pre-Q4",IF(J225&lt;=Assumptions!$B$4,"Q4 2025","Deferred Q1 2026")))</f>
        <v>Q4 2025</v>
      </c>
    </row>
    <row r="226" spans="1:12" ht="15" customHeight="1" x14ac:dyDescent="0.2">
      <c r="A226" s="14" t="s">
        <v>626</v>
      </c>
      <c r="B226" s="14" t="s">
        <v>627</v>
      </c>
      <c r="C226" s="18">
        <v>45942</v>
      </c>
      <c r="D226" s="18">
        <v>45948</v>
      </c>
      <c r="E226" s="14">
        <v>1662</v>
      </c>
      <c r="F226" s="14" t="s">
        <v>77</v>
      </c>
      <c r="G226" s="14" t="s">
        <v>78</v>
      </c>
      <c r="H226" s="15">
        <f>IFERROR(VLOOKUP(B226,Orders!$A:$I,6,0),"")</f>
        <v>275.24</v>
      </c>
      <c r="I226" s="14" t="str">
        <f>IFERROR(VLOOKUP(B226,Orders!$A:$I,8,0),"")</f>
        <v>FOB Shipping Point</v>
      </c>
      <c r="J226" s="16">
        <f t="shared" si="9"/>
        <v>45942</v>
      </c>
      <c r="K226" s="15">
        <f t="shared" si="8"/>
        <v>457448.88</v>
      </c>
      <c r="L226" s="14" t="str">
        <f>IF(H226="","Excluded - no order",IF(J226&lt;Assumptions!$B$3,"Pre-Q4",IF(J226&lt;=Assumptions!$B$4,"Q4 2025","Deferred Q1 2026")))</f>
        <v>Q4 2025</v>
      </c>
    </row>
    <row r="227" spans="1:12" ht="15" customHeight="1" x14ac:dyDescent="0.2">
      <c r="A227" s="14" t="s">
        <v>628</v>
      </c>
      <c r="B227" s="14" t="s">
        <v>629</v>
      </c>
      <c r="C227" s="18">
        <v>45973</v>
      </c>
      <c r="D227" s="18">
        <v>45975</v>
      </c>
      <c r="E227" s="14">
        <v>1064</v>
      </c>
      <c r="F227" s="14" t="s">
        <v>302</v>
      </c>
      <c r="G227" s="14" t="s">
        <v>303</v>
      </c>
      <c r="H227" s="15">
        <f>IFERROR(VLOOKUP(B227,Orders!$A:$I,6,0),"")</f>
        <v>441.25</v>
      </c>
      <c r="I227" s="14" t="str">
        <f>IFERROR(VLOOKUP(B227,Orders!$A:$I,8,0),"")</f>
        <v>FOB Shipping Point</v>
      </c>
      <c r="J227" s="16">
        <f t="shared" si="9"/>
        <v>45973</v>
      </c>
      <c r="K227" s="15">
        <f t="shared" si="8"/>
        <v>469490</v>
      </c>
      <c r="L227" s="14" t="str">
        <f>IF(H227="","Excluded - no order",IF(J227&lt;Assumptions!$B$3,"Pre-Q4",IF(J227&lt;=Assumptions!$B$4,"Q4 2025","Deferred Q1 2026")))</f>
        <v>Q4 2025</v>
      </c>
    </row>
    <row r="228" spans="1:12" ht="15" customHeight="1" x14ac:dyDescent="0.2">
      <c r="A228" s="14" t="s">
        <v>630</v>
      </c>
      <c r="B228" s="14" t="s">
        <v>631</v>
      </c>
      <c r="C228" s="18">
        <v>46003</v>
      </c>
      <c r="D228" s="18">
        <v>46007</v>
      </c>
      <c r="E228" s="14">
        <v>1277</v>
      </c>
      <c r="F228" s="14" t="s">
        <v>77</v>
      </c>
      <c r="G228" s="14" t="s">
        <v>78</v>
      </c>
      <c r="H228" s="15">
        <f>IFERROR(VLOOKUP(B228,Orders!$A:$I,6,0),"")</f>
        <v>206.18</v>
      </c>
      <c r="I228" s="14" t="str">
        <f>IFERROR(VLOOKUP(B228,Orders!$A:$I,8,0),"")</f>
        <v>FOB Destination</v>
      </c>
      <c r="J228" s="16">
        <f t="shared" si="9"/>
        <v>46007</v>
      </c>
      <c r="K228" s="15">
        <f t="shared" si="8"/>
        <v>263291.86</v>
      </c>
      <c r="L228" s="14" t="str">
        <f>IF(H228="","Excluded - no order",IF(J228&lt;Assumptions!$B$3,"Pre-Q4",IF(J228&lt;=Assumptions!$B$4,"Q4 2025","Deferred Q1 2026")))</f>
        <v>Q4 2025</v>
      </c>
    </row>
    <row r="229" spans="1:12" ht="15" customHeight="1" x14ac:dyDescent="0.2">
      <c r="A229" s="14" t="s">
        <v>632</v>
      </c>
      <c r="B229" s="14" t="s">
        <v>633</v>
      </c>
      <c r="C229" s="18">
        <v>45984</v>
      </c>
      <c r="D229" s="18">
        <v>45986</v>
      </c>
      <c r="E229" s="14">
        <v>428</v>
      </c>
      <c r="F229" s="14" t="s">
        <v>118</v>
      </c>
      <c r="G229" s="14" t="s">
        <v>119</v>
      </c>
      <c r="H229" s="15">
        <f>IFERROR(VLOOKUP(B229,Orders!$A:$I,6,0),"")</f>
        <v>56.38</v>
      </c>
      <c r="I229" s="14" t="str">
        <f>IFERROR(VLOOKUP(B229,Orders!$A:$I,8,0),"")</f>
        <v>FOB Shipping Point</v>
      </c>
      <c r="J229" s="16">
        <f t="shared" si="9"/>
        <v>45984</v>
      </c>
      <c r="K229" s="15">
        <f t="shared" si="8"/>
        <v>24130.639999999999</v>
      </c>
      <c r="L229" s="14" t="str">
        <f>IF(H229="","Excluded - no order",IF(J229&lt;Assumptions!$B$3,"Pre-Q4",IF(J229&lt;=Assumptions!$B$4,"Q4 2025","Deferred Q1 2026")))</f>
        <v>Q4 2025</v>
      </c>
    </row>
    <row r="230" spans="1:12" ht="15" customHeight="1" x14ac:dyDescent="0.2">
      <c r="A230" s="14" t="s">
        <v>634</v>
      </c>
      <c r="B230" s="14" t="s">
        <v>633</v>
      </c>
      <c r="C230" s="18">
        <v>45986</v>
      </c>
      <c r="D230" s="18">
        <v>45988</v>
      </c>
      <c r="E230" s="14">
        <v>501</v>
      </c>
      <c r="F230" s="14" t="s">
        <v>122</v>
      </c>
      <c r="G230" s="14" t="s">
        <v>123</v>
      </c>
      <c r="H230" s="15">
        <f>IFERROR(VLOOKUP(B230,Orders!$A:$I,6,0),"")</f>
        <v>56.38</v>
      </c>
      <c r="I230" s="14" t="str">
        <f>IFERROR(VLOOKUP(B230,Orders!$A:$I,8,0),"")</f>
        <v>FOB Shipping Point</v>
      </c>
      <c r="J230" s="16">
        <f t="shared" si="9"/>
        <v>45986</v>
      </c>
      <c r="K230" s="15">
        <f t="shared" si="8"/>
        <v>28246.38</v>
      </c>
      <c r="L230" s="14" t="str">
        <f>IF(H230="","Excluded - no order",IF(J230&lt;Assumptions!$B$3,"Pre-Q4",IF(J230&lt;=Assumptions!$B$4,"Q4 2025","Deferred Q1 2026")))</f>
        <v>Q4 2025</v>
      </c>
    </row>
    <row r="231" spans="1:12" ht="15" customHeight="1" x14ac:dyDescent="0.2">
      <c r="A231" s="14" t="s">
        <v>635</v>
      </c>
      <c r="B231" s="14" t="s">
        <v>636</v>
      </c>
      <c r="C231" s="18">
        <v>45963</v>
      </c>
      <c r="D231" s="18">
        <v>45967</v>
      </c>
      <c r="E231" s="14">
        <v>1966</v>
      </c>
      <c r="F231" s="14" t="s">
        <v>77</v>
      </c>
      <c r="G231" s="14" t="s">
        <v>78</v>
      </c>
      <c r="H231" s="15">
        <f>IFERROR(VLOOKUP(B231,Orders!$A:$I,6,0),"")</f>
        <v>193.83</v>
      </c>
      <c r="I231" s="14" t="str">
        <f>IFERROR(VLOOKUP(B231,Orders!$A:$I,8,0),"")</f>
        <v>FOB Destination</v>
      </c>
      <c r="J231" s="16">
        <f t="shared" si="9"/>
        <v>45967</v>
      </c>
      <c r="K231" s="15">
        <f t="shared" si="8"/>
        <v>381069.78</v>
      </c>
      <c r="L231" s="14" t="str">
        <f>IF(H231="","Excluded - no order",IF(J231&lt;Assumptions!$B$3,"Pre-Q4",IF(J231&lt;=Assumptions!$B$4,"Q4 2025","Deferred Q1 2026")))</f>
        <v>Q4 2025</v>
      </c>
    </row>
    <row r="232" spans="1:12" ht="15" customHeight="1" x14ac:dyDescent="0.2">
      <c r="A232" s="14" t="s">
        <v>637</v>
      </c>
      <c r="B232" s="14" t="s">
        <v>638</v>
      </c>
      <c r="C232" s="18">
        <v>45981</v>
      </c>
      <c r="D232" s="18">
        <v>45984</v>
      </c>
      <c r="E232" s="14">
        <v>1441</v>
      </c>
      <c r="F232" s="14" t="s">
        <v>149</v>
      </c>
      <c r="G232" s="14" t="s">
        <v>150</v>
      </c>
      <c r="H232" s="15">
        <f>IFERROR(VLOOKUP(B232,Orders!$A:$I,6,0),"")</f>
        <v>190.36</v>
      </c>
      <c r="I232" s="14" t="str">
        <f>IFERROR(VLOOKUP(B232,Orders!$A:$I,8,0),"")</f>
        <v>FOB Shipping Point</v>
      </c>
      <c r="J232" s="16">
        <f t="shared" si="9"/>
        <v>45981</v>
      </c>
      <c r="K232" s="15">
        <f t="shared" si="8"/>
        <v>274308.76</v>
      </c>
      <c r="L232" s="14" t="str">
        <f>IF(H232="","Excluded - no order",IF(J232&lt;Assumptions!$B$3,"Pre-Q4",IF(J232&lt;=Assumptions!$B$4,"Q4 2025","Deferred Q1 2026")))</f>
        <v>Q4 2025</v>
      </c>
    </row>
    <row r="233" spans="1:12" ht="15" customHeight="1" x14ac:dyDescent="0.2">
      <c r="A233" s="14" t="s">
        <v>639</v>
      </c>
      <c r="B233" s="14" t="s">
        <v>640</v>
      </c>
      <c r="C233" s="18">
        <v>45997</v>
      </c>
      <c r="D233" s="18">
        <v>46000</v>
      </c>
      <c r="E233" s="14">
        <v>479</v>
      </c>
      <c r="F233" s="14" t="s">
        <v>641</v>
      </c>
      <c r="G233" s="14" t="s">
        <v>642</v>
      </c>
      <c r="H233" s="15">
        <f>IFERROR(VLOOKUP(B233,Orders!$A:$I,6,0),"")</f>
        <v>450.51</v>
      </c>
      <c r="I233" s="14" t="str">
        <f>IFERROR(VLOOKUP(B233,Orders!$A:$I,8,0),"")</f>
        <v>FOB Shipping Point</v>
      </c>
      <c r="J233" s="16">
        <f t="shared" si="9"/>
        <v>45997</v>
      </c>
      <c r="K233" s="15">
        <f t="shared" si="8"/>
        <v>215794.29</v>
      </c>
      <c r="L233" s="14" t="str">
        <f>IF(H233="","Excluded - no order",IF(J233&lt;Assumptions!$B$3,"Pre-Q4",IF(J233&lt;=Assumptions!$B$4,"Q4 2025","Deferred Q1 2026")))</f>
        <v>Q4 2025</v>
      </c>
    </row>
    <row r="234" spans="1:12" ht="15" customHeight="1" x14ac:dyDescent="0.2">
      <c r="A234" s="14" t="s">
        <v>643</v>
      </c>
      <c r="B234" s="14" t="s">
        <v>644</v>
      </c>
      <c r="C234" s="18">
        <v>45950</v>
      </c>
      <c r="D234" s="18">
        <v>45952</v>
      </c>
      <c r="E234" s="14">
        <v>124</v>
      </c>
      <c r="F234" s="14" t="s">
        <v>645</v>
      </c>
      <c r="G234" s="14" t="s">
        <v>646</v>
      </c>
      <c r="H234" s="15">
        <f>IFERROR(VLOOKUP(B234,Orders!$A:$I,6,0),"")</f>
        <v>216.64</v>
      </c>
      <c r="I234" s="14" t="str">
        <f>IFERROR(VLOOKUP(B234,Orders!$A:$I,8,0),"")</f>
        <v>FOB Destination</v>
      </c>
      <c r="J234" s="16">
        <f t="shared" si="9"/>
        <v>45952</v>
      </c>
      <c r="K234" s="15">
        <f t="shared" si="8"/>
        <v>26863.359999999997</v>
      </c>
      <c r="L234" s="14" t="str">
        <f>IF(H234="","Excluded - no order",IF(J234&lt;Assumptions!$B$3,"Pre-Q4",IF(J234&lt;=Assumptions!$B$4,"Q4 2025","Deferred Q1 2026")))</f>
        <v>Q4 2025</v>
      </c>
    </row>
    <row r="235" spans="1:12" ht="15" customHeight="1" x14ac:dyDescent="0.2">
      <c r="A235" s="14" t="s">
        <v>647</v>
      </c>
      <c r="B235" s="14" t="s">
        <v>648</v>
      </c>
      <c r="C235" s="18">
        <v>45959</v>
      </c>
      <c r="D235" s="18">
        <v>45962</v>
      </c>
      <c r="E235" s="14">
        <v>1546</v>
      </c>
      <c r="F235" s="14" t="s">
        <v>319</v>
      </c>
      <c r="G235" s="14" t="s">
        <v>320</v>
      </c>
      <c r="H235" s="15">
        <f>IFERROR(VLOOKUP(B235,Orders!$A:$I,6,0),"")</f>
        <v>338.31</v>
      </c>
      <c r="I235" s="14" t="str">
        <f>IFERROR(VLOOKUP(B235,Orders!$A:$I,8,0),"")</f>
        <v>FOB Shipping Point</v>
      </c>
      <c r="J235" s="16">
        <f t="shared" si="9"/>
        <v>45959</v>
      </c>
      <c r="K235" s="15">
        <f t="shared" si="8"/>
        <v>523027.26</v>
      </c>
      <c r="L235" s="14" t="str">
        <f>IF(H235="","Excluded - no order",IF(J235&lt;Assumptions!$B$3,"Pre-Q4",IF(J235&lt;=Assumptions!$B$4,"Q4 2025","Deferred Q1 2026")))</f>
        <v>Q4 2025</v>
      </c>
    </row>
    <row r="236" spans="1:12" ht="15" customHeight="1" x14ac:dyDescent="0.2">
      <c r="A236" s="14" t="s">
        <v>649</v>
      </c>
      <c r="B236" s="14" t="s">
        <v>650</v>
      </c>
      <c r="C236" s="18">
        <v>45989</v>
      </c>
      <c r="D236" s="18">
        <v>45994</v>
      </c>
      <c r="E236" s="14">
        <v>607</v>
      </c>
      <c r="F236" s="14" t="s">
        <v>651</v>
      </c>
      <c r="G236" s="14" t="s">
        <v>652</v>
      </c>
      <c r="H236" s="15">
        <f>IFERROR(VLOOKUP(B236,Orders!$A:$I,6,0),"")</f>
        <v>398.95</v>
      </c>
      <c r="I236" s="14" t="str">
        <f>IFERROR(VLOOKUP(B236,Orders!$A:$I,8,0),"")</f>
        <v>FOB Shipping Point</v>
      </c>
      <c r="J236" s="16">
        <f t="shared" si="9"/>
        <v>45989</v>
      </c>
      <c r="K236" s="15">
        <f t="shared" si="8"/>
        <v>242162.65</v>
      </c>
      <c r="L236" s="14" t="str">
        <f>IF(H236="","Excluded - no order",IF(J236&lt;Assumptions!$B$3,"Pre-Q4",IF(J236&lt;=Assumptions!$B$4,"Q4 2025","Deferred Q1 2026")))</f>
        <v>Q4 2025</v>
      </c>
    </row>
    <row r="237" spans="1:12" ht="15" customHeight="1" x14ac:dyDescent="0.2">
      <c r="A237" s="14" t="s">
        <v>653</v>
      </c>
      <c r="B237" s="14" t="s">
        <v>654</v>
      </c>
      <c r="C237" s="18">
        <v>45961</v>
      </c>
      <c r="D237" s="18">
        <v>45967</v>
      </c>
      <c r="E237" s="14">
        <v>877</v>
      </c>
      <c r="F237" s="14" t="s">
        <v>149</v>
      </c>
      <c r="G237" s="14" t="s">
        <v>150</v>
      </c>
      <c r="H237" s="15">
        <f>IFERROR(VLOOKUP(B237,Orders!$A:$I,6,0),"")</f>
        <v>494.73</v>
      </c>
      <c r="I237" s="14" t="str">
        <f>IFERROR(VLOOKUP(B237,Orders!$A:$I,8,0),"")</f>
        <v>FOB Shipping Point</v>
      </c>
      <c r="J237" s="16">
        <f t="shared" si="9"/>
        <v>45961</v>
      </c>
      <c r="K237" s="15">
        <f t="shared" si="8"/>
        <v>433878.21</v>
      </c>
      <c r="L237" s="14" t="str">
        <f>IF(H237="","Excluded - no order",IF(J237&lt;Assumptions!$B$3,"Pre-Q4",IF(J237&lt;=Assumptions!$B$4,"Q4 2025","Deferred Q1 2026")))</f>
        <v>Q4 2025</v>
      </c>
    </row>
    <row r="238" spans="1:12" ht="15" customHeight="1" x14ac:dyDescent="0.2">
      <c r="A238" s="14" t="s">
        <v>655</v>
      </c>
      <c r="B238" s="14" t="s">
        <v>656</v>
      </c>
      <c r="C238" s="18">
        <v>45950</v>
      </c>
      <c r="D238" s="18">
        <v>45951</v>
      </c>
      <c r="E238" s="14">
        <v>1306</v>
      </c>
      <c r="F238" s="14" t="s">
        <v>657</v>
      </c>
      <c r="G238" s="14" t="s">
        <v>658</v>
      </c>
      <c r="H238" s="15">
        <f>IFERROR(VLOOKUP(B238,Orders!$A:$I,6,0),"")</f>
        <v>3.73</v>
      </c>
      <c r="I238" s="14" t="str">
        <f>IFERROR(VLOOKUP(B238,Orders!$A:$I,8,0),"")</f>
        <v>FOB Destination</v>
      </c>
      <c r="J238" s="16">
        <f t="shared" si="9"/>
        <v>45951</v>
      </c>
      <c r="K238" s="15">
        <f t="shared" si="8"/>
        <v>4871.38</v>
      </c>
      <c r="L238" s="14" t="str">
        <f>IF(H238="","Excluded - no order",IF(J238&lt;Assumptions!$B$3,"Pre-Q4",IF(J238&lt;=Assumptions!$B$4,"Q4 2025","Deferred Q1 2026")))</f>
        <v>Q4 2025</v>
      </c>
    </row>
    <row r="239" spans="1:12" ht="15" customHeight="1" x14ac:dyDescent="0.2">
      <c r="A239" s="14" t="s">
        <v>659</v>
      </c>
      <c r="B239" s="14" t="s">
        <v>660</v>
      </c>
      <c r="C239" s="18">
        <v>45964</v>
      </c>
      <c r="D239" s="18">
        <v>45969</v>
      </c>
      <c r="E239" s="14">
        <v>128</v>
      </c>
      <c r="F239" s="14" t="s">
        <v>368</v>
      </c>
      <c r="G239" s="14" t="s">
        <v>369</v>
      </c>
      <c r="H239" s="15">
        <f>IFERROR(VLOOKUP(B239,Orders!$A:$I,6,0),"")</f>
        <v>277.82</v>
      </c>
      <c r="I239" s="14" t="str">
        <f>IFERROR(VLOOKUP(B239,Orders!$A:$I,8,0),"")</f>
        <v>FOB Shipping Point</v>
      </c>
      <c r="J239" s="16">
        <f t="shared" si="9"/>
        <v>45964</v>
      </c>
      <c r="K239" s="15">
        <f t="shared" si="8"/>
        <v>35560.959999999999</v>
      </c>
      <c r="L239" s="14" t="str">
        <f>IF(H239="","Excluded - no order",IF(J239&lt;Assumptions!$B$3,"Pre-Q4",IF(J239&lt;=Assumptions!$B$4,"Q4 2025","Deferred Q1 2026")))</f>
        <v>Q4 2025</v>
      </c>
    </row>
    <row r="240" spans="1:12" ht="15" customHeight="1" x14ac:dyDescent="0.2">
      <c r="A240" s="14" t="s">
        <v>661</v>
      </c>
      <c r="B240" s="14" t="s">
        <v>662</v>
      </c>
      <c r="C240" s="18">
        <v>46001</v>
      </c>
      <c r="D240" s="18">
        <v>46003</v>
      </c>
      <c r="E240" s="14">
        <v>1942</v>
      </c>
      <c r="F240" s="14" t="s">
        <v>73</v>
      </c>
      <c r="G240" s="14" t="s">
        <v>74</v>
      </c>
      <c r="H240" s="15">
        <f>IFERROR(VLOOKUP(B240,Orders!$A:$I,6,0),"")</f>
        <v>93.78</v>
      </c>
      <c r="I240" s="14" t="str">
        <f>IFERROR(VLOOKUP(B240,Orders!$A:$I,8,0),"")</f>
        <v>FOB Destination</v>
      </c>
      <c r="J240" s="16">
        <f t="shared" si="9"/>
        <v>46003</v>
      </c>
      <c r="K240" s="15">
        <f t="shared" si="8"/>
        <v>182120.76</v>
      </c>
      <c r="L240" s="14" t="str">
        <f>IF(H240="","Excluded - no order",IF(J240&lt;Assumptions!$B$3,"Pre-Q4",IF(J240&lt;=Assumptions!$B$4,"Q4 2025","Deferred Q1 2026")))</f>
        <v>Q4 2025</v>
      </c>
    </row>
    <row r="241" spans="1:12" ht="15" customHeight="1" x14ac:dyDescent="0.2">
      <c r="A241" s="14" t="s">
        <v>663</v>
      </c>
      <c r="B241" s="14" t="s">
        <v>664</v>
      </c>
      <c r="C241" s="18">
        <v>45959</v>
      </c>
      <c r="D241" s="18">
        <v>45964</v>
      </c>
      <c r="E241" s="14">
        <v>206</v>
      </c>
      <c r="F241" s="14" t="s">
        <v>73</v>
      </c>
      <c r="G241" s="14" t="s">
        <v>74</v>
      </c>
      <c r="H241" s="15">
        <f>IFERROR(VLOOKUP(B241,Orders!$A:$I,6,0),"")</f>
        <v>462.35</v>
      </c>
      <c r="I241" s="14" t="str">
        <f>IFERROR(VLOOKUP(B241,Orders!$A:$I,8,0),"")</f>
        <v>FOB Destination</v>
      </c>
      <c r="J241" s="16">
        <f t="shared" si="9"/>
        <v>45964</v>
      </c>
      <c r="K241" s="15">
        <f t="shared" si="8"/>
        <v>95244.1</v>
      </c>
      <c r="L241" s="14" t="str">
        <f>IF(H241="","Excluded - no order",IF(J241&lt;Assumptions!$B$3,"Pre-Q4",IF(J241&lt;=Assumptions!$B$4,"Q4 2025","Deferred Q1 2026")))</f>
        <v>Q4 2025</v>
      </c>
    </row>
    <row r="242" spans="1:12" ht="15" customHeight="1" x14ac:dyDescent="0.2">
      <c r="A242" s="14" t="s">
        <v>665</v>
      </c>
      <c r="B242" s="14" t="s">
        <v>666</v>
      </c>
      <c r="C242" s="18">
        <v>45954</v>
      </c>
      <c r="D242" s="18">
        <v>45957</v>
      </c>
      <c r="E242" s="14">
        <v>1153</v>
      </c>
      <c r="F242" s="14" t="s">
        <v>77</v>
      </c>
      <c r="G242" s="14" t="s">
        <v>78</v>
      </c>
      <c r="H242" s="15">
        <f>IFERROR(VLOOKUP(B242,Orders!$A:$I,6,0),"")</f>
        <v>99.24</v>
      </c>
      <c r="I242" s="14" t="str">
        <f>IFERROR(VLOOKUP(B242,Orders!$A:$I,8,0),"")</f>
        <v>FOB Shipping Point</v>
      </c>
      <c r="J242" s="16">
        <f t="shared" si="9"/>
        <v>45954</v>
      </c>
      <c r="K242" s="15">
        <f t="shared" si="8"/>
        <v>114423.72</v>
      </c>
      <c r="L242" s="14" t="str">
        <f>IF(H242="","Excluded - no order",IF(J242&lt;Assumptions!$B$3,"Pre-Q4",IF(J242&lt;=Assumptions!$B$4,"Q4 2025","Deferred Q1 2026")))</f>
        <v>Q4 2025</v>
      </c>
    </row>
    <row r="243" spans="1:12" ht="15" customHeight="1" x14ac:dyDescent="0.2">
      <c r="A243" s="14" t="s">
        <v>667</v>
      </c>
      <c r="B243" s="14" t="s">
        <v>668</v>
      </c>
      <c r="C243" s="18">
        <v>45984</v>
      </c>
      <c r="D243" s="18">
        <v>45990</v>
      </c>
      <c r="E243" s="14">
        <v>558</v>
      </c>
      <c r="F243" s="14" t="s">
        <v>73</v>
      </c>
      <c r="G243" s="14" t="s">
        <v>74</v>
      </c>
      <c r="H243" s="15">
        <f>IFERROR(VLOOKUP(B243,Orders!$A:$I,6,0),"")</f>
        <v>114.51</v>
      </c>
      <c r="I243" s="14" t="str">
        <f>IFERROR(VLOOKUP(B243,Orders!$A:$I,8,0),"")</f>
        <v>FOB Shipping Point</v>
      </c>
      <c r="J243" s="16">
        <f t="shared" si="9"/>
        <v>45984</v>
      </c>
      <c r="K243" s="15">
        <f t="shared" si="8"/>
        <v>63896.58</v>
      </c>
      <c r="L243" s="14" t="str">
        <f>IF(H243="","Excluded - no order",IF(J243&lt;Assumptions!$B$3,"Pre-Q4",IF(J243&lt;=Assumptions!$B$4,"Q4 2025","Deferred Q1 2026")))</f>
        <v>Q4 2025</v>
      </c>
    </row>
    <row r="244" spans="1:12" ht="15" customHeight="1" x14ac:dyDescent="0.2">
      <c r="A244" s="14" t="s">
        <v>669</v>
      </c>
      <c r="B244" s="14" t="s">
        <v>668</v>
      </c>
      <c r="C244" s="18">
        <v>45986</v>
      </c>
      <c r="D244" s="18">
        <v>45992</v>
      </c>
      <c r="E244" s="14">
        <v>429</v>
      </c>
      <c r="F244" s="14" t="s">
        <v>100</v>
      </c>
      <c r="G244" s="14" t="s">
        <v>101</v>
      </c>
      <c r="H244" s="15">
        <f>IFERROR(VLOOKUP(B244,Orders!$A:$I,6,0),"")</f>
        <v>114.51</v>
      </c>
      <c r="I244" s="14" t="str">
        <f>IFERROR(VLOOKUP(B244,Orders!$A:$I,8,0),"")</f>
        <v>FOB Shipping Point</v>
      </c>
      <c r="J244" s="16">
        <f t="shared" si="9"/>
        <v>45986</v>
      </c>
      <c r="K244" s="15">
        <f t="shared" si="8"/>
        <v>49124.79</v>
      </c>
      <c r="L244" s="14" t="str">
        <f>IF(H244="","Excluded - no order",IF(J244&lt;Assumptions!$B$3,"Pre-Q4",IF(J244&lt;=Assumptions!$B$4,"Q4 2025","Deferred Q1 2026")))</f>
        <v>Q4 2025</v>
      </c>
    </row>
    <row r="245" spans="1:12" ht="15" customHeight="1" x14ac:dyDescent="0.2">
      <c r="A245" s="14" t="s">
        <v>670</v>
      </c>
      <c r="B245" s="14" t="s">
        <v>671</v>
      </c>
      <c r="C245" s="18">
        <v>45987</v>
      </c>
      <c r="D245" s="18">
        <v>45990</v>
      </c>
      <c r="E245" s="14">
        <v>300</v>
      </c>
      <c r="F245" s="14" t="s">
        <v>672</v>
      </c>
      <c r="G245" s="14" t="s">
        <v>673</v>
      </c>
      <c r="H245" s="15">
        <f>IFERROR(VLOOKUP(B245,Orders!$A:$I,6,0),"")</f>
        <v>458.79</v>
      </c>
      <c r="I245" s="14" t="str">
        <f>IFERROR(VLOOKUP(B245,Orders!$A:$I,8,0),"")</f>
        <v>FOB Destination</v>
      </c>
      <c r="J245" s="16">
        <f t="shared" si="9"/>
        <v>45990</v>
      </c>
      <c r="K245" s="15">
        <f t="shared" si="8"/>
        <v>137637</v>
      </c>
      <c r="L245" s="14" t="str">
        <f>IF(H245="","Excluded - no order",IF(J245&lt;Assumptions!$B$3,"Pre-Q4",IF(J245&lt;=Assumptions!$B$4,"Q4 2025","Deferred Q1 2026")))</f>
        <v>Q4 2025</v>
      </c>
    </row>
    <row r="246" spans="1:12" ht="15" customHeight="1" x14ac:dyDescent="0.2">
      <c r="A246" s="14" t="s">
        <v>674</v>
      </c>
      <c r="B246" s="14" t="s">
        <v>675</v>
      </c>
      <c r="C246" s="18">
        <v>45992</v>
      </c>
      <c r="D246" s="18">
        <v>45998</v>
      </c>
      <c r="E246" s="14">
        <v>354</v>
      </c>
      <c r="F246" s="14" t="s">
        <v>676</v>
      </c>
      <c r="G246" s="14" t="s">
        <v>677</v>
      </c>
      <c r="H246" s="15">
        <f>IFERROR(VLOOKUP(B246,Orders!$A:$I,6,0),"")</f>
        <v>70.08</v>
      </c>
      <c r="I246" s="14" t="str">
        <f>IFERROR(VLOOKUP(B246,Orders!$A:$I,8,0),"")</f>
        <v>FOB Shipping Point</v>
      </c>
      <c r="J246" s="16">
        <f t="shared" si="9"/>
        <v>45992</v>
      </c>
      <c r="K246" s="15">
        <f t="shared" si="8"/>
        <v>24808.32</v>
      </c>
      <c r="L246" s="14" t="str">
        <f>IF(H246="","Excluded - no order",IF(J246&lt;Assumptions!$B$3,"Pre-Q4",IF(J246&lt;=Assumptions!$B$4,"Q4 2025","Deferred Q1 2026")))</f>
        <v>Q4 2025</v>
      </c>
    </row>
    <row r="247" spans="1:12" ht="15" customHeight="1" x14ac:dyDescent="0.2">
      <c r="A247" s="14" t="s">
        <v>678</v>
      </c>
      <c r="B247" s="14" t="s">
        <v>675</v>
      </c>
      <c r="C247" s="18">
        <v>45994</v>
      </c>
      <c r="D247" s="18">
        <v>46000</v>
      </c>
      <c r="E247" s="14">
        <v>152</v>
      </c>
      <c r="F247" s="14" t="s">
        <v>679</v>
      </c>
      <c r="G247" s="14" t="s">
        <v>680</v>
      </c>
      <c r="H247" s="15">
        <f>IFERROR(VLOOKUP(B247,Orders!$A:$I,6,0),"")</f>
        <v>70.08</v>
      </c>
      <c r="I247" s="14" t="str">
        <f>IFERROR(VLOOKUP(B247,Orders!$A:$I,8,0),"")</f>
        <v>FOB Shipping Point</v>
      </c>
      <c r="J247" s="16">
        <f t="shared" si="9"/>
        <v>45994</v>
      </c>
      <c r="K247" s="15">
        <f t="shared" si="8"/>
        <v>10652.16</v>
      </c>
      <c r="L247" s="14" t="str">
        <f>IF(H247="","Excluded - no order",IF(J247&lt;Assumptions!$B$3,"Pre-Q4",IF(J247&lt;=Assumptions!$B$4,"Q4 2025","Deferred Q1 2026")))</f>
        <v>Q4 2025</v>
      </c>
    </row>
    <row r="248" spans="1:12" ht="15" customHeight="1" x14ac:dyDescent="0.2">
      <c r="A248" s="14" t="s">
        <v>681</v>
      </c>
      <c r="B248" s="14" t="s">
        <v>682</v>
      </c>
      <c r="C248" s="18">
        <v>46008</v>
      </c>
      <c r="D248" s="18">
        <v>46014</v>
      </c>
      <c r="E248" s="14">
        <v>65</v>
      </c>
      <c r="F248" s="14" t="s">
        <v>683</v>
      </c>
      <c r="G248" s="14" t="s">
        <v>684</v>
      </c>
      <c r="H248" s="15">
        <f>IFERROR(VLOOKUP(B248,Orders!$A:$I,6,0),"")</f>
        <v>336.99</v>
      </c>
      <c r="I248" s="14" t="str">
        <f>IFERROR(VLOOKUP(B248,Orders!$A:$I,8,0),"")</f>
        <v>FOB Destination</v>
      </c>
      <c r="J248" s="16">
        <f t="shared" si="9"/>
        <v>46014</v>
      </c>
      <c r="K248" s="15">
        <f t="shared" si="8"/>
        <v>21904.350000000002</v>
      </c>
      <c r="L248" s="14" t="str">
        <f>IF(H248="","Excluded - no order",IF(J248&lt;Assumptions!$B$3,"Pre-Q4",IF(J248&lt;=Assumptions!$B$4,"Q4 2025","Deferred Q1 2026")))</f>
        <v>Q4 2025</v>
      </c>
    </row>
    <row r="249" spans="1:12" ht="15" customHeight="1" x14ac:dyDescent="0.2">
      <c r="A249" s="14" t="s">
        <v>685</v>
      </c>
      <c r="B249" s="14" t="s">
        <v>686</v>
      </c>
      <c r="C249" s="18">
        <v>46019</v>
      </c>
      <c r="D249" s="18">
        <v>46022</v>
      </c>
      <c r="E249" s="14">
        <v>1693</v>
      </c>
      <c r="F249" s="14" t="s">
        <v>73</v>
      </c>
      <c r="G249" s="14" t="s">
        <v>74</v>
      </c>
      <c r="H249" s="15">
        <f>IFERROR(VLOOKUP(B249,Orders!$A:$I,6,0),"")</f>
        <v>370.38</v>
      </c>
      <c r="I249" s="14" t="str">
        <f>IFERROR(VLOOKUP(B249,Orders!$A:$I,8,0),"")</f>
        <v>FOB Shipping Point</v>
      </c>
      <c r="J249" s="16">
        <f t="shared" si="9"/>
        <v>46019</v>
      </c>
      <c r="K249" s="15">
        <f t="shared" si="8"/>
        <v>627053.34</v>
      </c>
      <c r="L249" s="14" t="str">
        <f>IF(H249="","Excluded - no order",IF(J249&lt;Assumptions!$B$3,"Pre-Q4",IF(J249&lt;=Assumptions!$B$4,"Q4 2025","Deferred Q1 2026")))</f>
        <v>Q4 2025</v>
      </c>
    </row>
    <row r="250" spans="1:12" ht="15" customHeight="1" x14ac:dyDescent="0.2">
      <c r="A250" s="14" t="s">
        <v>687</v>
      </c>
      <c r="B250" s="14" t="s">
        <v>688</v>
      </c>
      <c r="C250" s="18">
        <v>46006</v>
      </c>
      <c r="D250" s="18">
        <v>46009</v>
      </c>
      <c r="E250" s="14">
        <v>1619</v>
      </c>
      <c r="F250" s="14" t="s">
        <v>100</v>
      </c>
      <c r="G250" s="14" t="s">
        <v>101</v>
      </c>
      <c r="H250" s="15">
        <f>IFERROR(VLOOKUP(B250,Orders!$A:$I,6,0),"")</f>
        <v>255.08</v>
      </c>
      <c r="I250" s="14" t="str">
        <f>IFERROR(VLOOKUP(B250,Orders!$A:$I,8,0),"")</f>
        <v>FOB Shipping Point</v>
      </c>
      <c r="J250" s="16">
        <f t="shared" si="9"/>
        <v>46006</v>
      </c>
      <c r="K250" s="15">
        <f t="shared" si="8"/>
        <v>412974.52</v>
      </c>
      <c r="L250" s="14" t="str">
        <f>IF(H250="","Excluded - no order",IF(J250&lt;Assumptions!$B$3,"Pre-Q4",IF(J250&lt;=Assumptions!$B$4,"Q4 2025","Deferred Q1 2026")))</f>
        <v>Q4 2025</v>
      </c>
    </row>
    <row r="251" spans="1:12" ht="15" customHeight="1" x14ac:dyDescent="0.2">
      <c r="A251" s="14" t="s">
        <v>689</v>
      </c>
      <c r="B251" s="14" t="s">
        <v>690</v>
      </c>
      <c r="C251" s="18">
        <v>45983</v>
      </c>
      <c r="D251" s="18">
        <v>45987</v>
      </c>
      <c r="E251" s="14">
        <v>1979</v>
      </c>
      <c r="F251" s="14" t="s">
        <v>691</v>
      </c>
      <c r="G251" s="14" t="s">
        <v>692</v>
      </c>
      <c r="H251" s="15">
        <f>IFERROR(VLOOKUP(B251,Orders!$A:$I,6,0),"")</f>
        <v>241.59</v>
      </c>
      <c r="I251" s="14" t="str">
        <f>IFERROR(VLOOKUP(B251,Orders!$A:$I,8,0),"")</f>
        <v>FOB Destination</v>
      </c>
      <c r="J251" s="16">
        <f t="shared" si="9"/>
        <v>45987</v>
      </c>
      <c r="K251" s="15">
        <f t="shared" si="8"/>
        <v>478106.61</v>
      </c>
      <c r="L251" s="14" t="str">
        <f>IF(H251="","Excluded - no order",IF(J251&lt;Assumptions!$B$3,"Pre-Q4",IF(J251&lt;=Assumptions!$B$4,"Q4 2025","Deferred Q1 2026")))</f>
        <v>Q4 2025</v>
      </c>
    </row>
    <row r="252" spans="1:12" ht="15" customHeight="1" x14ac:dyDescent="0.2">
      <c r="A252" s="14" t="s">
        <v>693</v>
      </c>
      <c r="B252" s="14" t="s">
        <v>694</v>
      </c>
      <c r="C252" s="18">
        <v>45959</v>
      </c>
      <c r="D252" s="18">
        <v>45960</v>
      </c>
      <c r="E252" s="14">
        <v>1595</v>
      </c>
      <c r="F252" s="14" t="s">
        <v>112</v>
      </c>
      <c r="G252" s="14" t="s">
        <v>113</v>
      </c>
      <c r="H252" s="15">
        <f>IFERROR(VLOOKUP(B252,Orders!$A:$I,6,0),"")</f>
        <v>353.71</v>
      </c>
      <c r="I252" s="14" t="str">
        <f>IFERROR(VLOOKUP(B252,Orders!$A:$I,8,0),"")</f>
        <v>FOB Shipping Point</v>
      </c>
      <c r="J252" s="16">
        <f t="shared" si="9"/>
        <v>45959</v>
      </c>
      <c r="K252" s="15">
        <f t="shared" si="8"/>
        <v>564167.44999999995</v>
      </c>
      <c r="L252" s="14" t="str">
        <f>IF(H252="","Excluded - no order",IF(J252&lt;Assumptions!$B$3,"Pre-Q4",IF(J252&lt;=Assumptions!$B$4,"Q4 2025","Deferred Q1 2026")))</f>
        <v>Q4 2025</v>
      </c>
    </row>
    <row r="253" spans="1:12" ht="15" customHeight="1" x14ac:dyDescent="0.2">
      <c r="A253" s="14" t="s">
        <v>695</v>
      </c>
      <c r="B253" s="14" t="s">
        <v>696</v>
      </c>
      <c r="C253" s="18">
        <v>46021</v>
      </c>
      <c r="D253" s="18">
        <v>46022</v>
      </c>
      <c r="E253" s="14">
        <v>471</v>
      </c>
      <c r="F253" s="14" t="s">
        <v>697</v>
      </c>
      <c r="G253" s="14" t="s">
        <v>698</v>
      </c>
      <c r="H253" s="15">
        <f>IFERROR(VLOOKUP(B253,Orders!$A:$I,6,0),"")</f>
        <v>456.28</v>
      </c>
      <c r="I253" s="14" t="str">
        <f>IFERROR(VLOOKUP(B253,Orders!$A:$I,8,0),"")</f>
        <v>FOB Shipping Point</v>
      </c>
      <c r="J253" s="16">
        <f t="shared" si="9"/>
        <v>46021</v>
      </c>
      <c r="K253" s="15">
        <f t="shared" si="8"/>
        <v>214907.87999999998</v>
      </c>
      <c r="L253" s="14" t="str">
        <f>IF(H253="","Excluded - no order",IF(J253&lt;Assumptions!$B$3,"Pre-Q4",IF(J253&lt;=Assumptions!$B$4,"Q4 2025","Deferred Q1 2026")))</f>
        <v>Q4 2025</v>
      </c>
    </row>
    <row r="254" spans="1:12" ht="15" customHeight="1" x14ac:dyDescent="0.2">
      <c r="A254" s="14" t="s">
        <v>699</v>
      </c>
      <c r="B254" s="14" t="s">
        <v>700</v>
      </c>
      <c r="C254" s="18">
        <v>46020</v>
      </c>
      <c r="D254" s="18">
        <v>46021</v>
      </c>
      <c r="E254" s="14">
        <v>1322</v>
      </c>
      <c r="F254" s="14" t="s">
        <v>77</v>
      </c>
      <c r="G254" s="14" t="s">
        <v>78</v>
      </c>
      <c r="H254" s="15">
        <f>IFERROR(VLOOKUP(B254,Orders!$A:$I,6,0),"")</f>
        <v>48.98</v>
      </c>
      <c r="I254" s="14" t="str">
        <f>IFERROR(VLOOKUP(B254,Orders!$A:$I,8,0),"")</f>
        <v>FOB Shipping Point</v>
      </c>
      <c r="J254" s="16">
        <f t="shared" si="9"/>
        <v>46020</v>
      </c>
      <c r="K254" s="15">
        <f t="shared" si="8"/>
        <v>64751.56</v>
      </c>
      <c r="L254" s="14" t="str">
        <f>IF(H254="","Excluded - no order",IF(J254&lt;Assumptions!$B$3,"Pre-Q4",IF(J254&lt;=Assumptions!$B$4,"Q4 2025","Deferred Q1 2026")))</f>
        <v>Q4 2025</v>
      </c>
    </row>
    <row r="255" spans="1:12" ht="15" customHeight="1" x14ac:dyDescent="0.2">
      <c r="A255" s="14" t="s">
        <v>701</v>
      </c>
      <c r="B255" s="14" t="s">
        <v>702</v>
      </c>
      <c r="C255" s="18">
        <v>45968</v>
      </c>
      <c r="D255" s="18">
        <v>45974</v>
      </c>
      <c r="E255" s="14">
        <v>560</v>
      </c>
      <c r="F255" s="14" t="s">
        <v>77</v>
      </c>
      <c r="G255" s="14" t="s">
        <v>78</v>
      </c>
      <c r="H255" s="15">
        <f>IFERROR(VLOOKUP(B255,Orders!$A:$I,6,0),"")</f>
        <v>435.7</v>
      </c>
      <c r="I255" s="14" t="str">
        <f>IFERROR(VLOOKUP(B255,Orders!$A:$I,8,0),"")</f>
        <v>FOB Shipping Point</v>
      </c>
      <c r="J255" s="16">
        <f t="shared" si="9"/>
        <v>45968</v>
      </c>
      <c r="K255" s="15">
        <f t="shared" si="8"/>
        <v>243992</v>
      </c>
      <c r="L255" s="14" t="str">
        <f>IF(H255="","Excluded - no order",IF(J255&lt;Assumptions!$B$3,"Pre-Q4",IF(J255&lt;=Assumptions!$B$4,"Q4 2025","Deferred Q1 2026")))</f>
        <v>Q4 2025</v>
      </c>
    </row>
    <row r="256" spans="1:12" ht="15" customHeight="1" x14ac:dyDescent="0.2">
      <c r="A256" s="14" t="s">
        <v>703</v>
      </c>
      <c r="B256" s="14" t="s">
        <v>704</v>
      </c>
      <c r="C256" s="18">
        <v>46019</v>
      </c>
      <c r="D256" s="18">
        <v>46026</v>
      </c>
      <c r="E256" s="14">
        <v>570</v>
      </c>
      <c r="F256" s="14" t="s">
        <v>100</v>
      </c>
      <c r="G256" s="14" t="s">
        <v>101</v>
      </c>
      <c r="H256" s="15">
        <f>IFERROR(VLOOKUP(B256,Orders!$A:$I,6,0),"")</f>
        <v>376.23</v>
      </c>
      <c r="I256" s="14" t="str">
        <f>IFERROR(VLOOKUP(B256,Orders!$A:$I,8,0),"")</f>
        <v>FOB Destination</v>
      </c>
      <c r="J256" s="16">
        <f t="shared" si="9"/>
        <v>46026</v>
      </c>
      <c r="K256" s="15">
        <f t="shared" si="8"/>
        <v>214451.1</v>
      </c>
      <c r="L256" s="14" t="str">
        <f>IF(H256="","Excluded - no order",IF(J256&lt;Assumptions!$B$3,"Pre-Q4",IF(J256&lt;=Assumptions!$B$4,"Q4 2025","Deferred Q1 2026")))</f>
        <v>Deferred Q1 2026</v>
      </c>
    </row>
    <row r="257" spans="1:12" ht="15" customHeight="1" x14ac:dyDescent="0.2">
      <c r="A257" s="14" t="s">
        <v>705</v>
      </c>
      <c r="B257" s="14" t="s">
        <v>704</v>
      </c>
      <c r="C257" s="18">
        <v>46035</v>
      </c>
      <c r="D257" s="18">
        <v>46039</v>
      </c>
      <c r="E257" s="14">
        <v>351</v>
      </c>
      <c r="F257" s="14" t="s">
        <v>112</v>
      </c>
      <c r="G257" s="14" t="s">
        <v>113</v>
      </c>
      <c r="H257" s="15">
        <f>IFERROR(VLOOKUP(B257,Orders!$A:$I,6,0),"")</f>
        <v>376.23</v>
      </c>
      <c r="I257" s="14" t="str">
        <f>IFERROR(VLOOKUP(B257,Orders!$A:$I,8,0),"")</f>
        <v>FOB Destination</v>
      </c>
      <c r="J257" s="16">
        <f t="shared" si="9"/>
        <v>46039</v>
      </c>
      <c r="K257" s="15">
        <f t="shared" si="8"/>
        <v>132056.73000000001</v>
      </c>
      <c r="L257" s="14" t="str">
        <f>IF(H257="","Excluded - no order",IF(J257&lt;Assumptions!$B$3,"Pre-Q4",IF(J257&lt;=Assumptions!$B$4,"Q4 2025","Deferred Q1 2026")))</f>
        <v>Deferred Q1 2026</v>
      </c>
    </row>
    <row r="258" spans="1:12" ht="15" customHeight="1" x14ac:dyDescent="0.2">
      <c r="A258" s="14" t="s">
        <v>706</v>
      </c>
      <c r="B258" s="14" t="s">
        <v>707</v>
      </c>
      <c r="C258" s="18">
        <v>45945</v>
      </c>
      <c r="D258" s="18">
        <v>45946</v>
      </c>
      <c r="E258" s="14">
        <v>1692</v>
      </c>
      <c r="F258" s="14" t="s">
        <v>118</v>
      </c>
      <c r="G258" s="14" t="s">
        <v>119</v>
      </c>
      <c r="H258" s="15">
        <f>IFERROR(VLOOKUP(B258,Orders!$A:$I,6,0),"")</f>
        <v>362.24</v>
      </c>
      <c r="I258" s="14" t="str">
        <f>IFERROR(VLOOKUP(B258,Orders!$A:$I,8,0),"")</f>
        <v>FOB Destination</v>
      </c>
      <c r="J258" s="16">
        <f t="shared" si="9"/>
        <v>45946</v>
      </c>
      <c r="K258" s="15">
        <f t="shared" ref="K258:K321" si="10">IF(H258="",0,E258*H258)</f>
        <v>612910.07999999996</v>
      </c>
      <c r="L258" s="14" t="str">
        <f>IF(H258="","Excluded - no order",IF(J258&lt;Assumptions!$B$3,"Pre-Q4",IF(J258&lt;=Assumptions!$B$4,"Q4 2025","Deferred Q1 2026")))</f>
        <v>Q4 2025</v>
      </c>
    </row>
    <row r="259" spans="1:12" ht="15" customHeight="1" x14ac:dyDescent="0.2">
      <c r="A259" s="14" t="s">
        <v>708</v>
      </c>
      <c r="B259" s="14" t="s">
        <v>709</v>
      </c>
      <c r="C259" s="18">
        <v>46021</v>
      </c>
      <c r="D259" s="18">
        <v>46022</v>
      </c>
      <c r="E259" s="14">
        <v>292</v>
      </c>
      <c r="F259" s="14" t="s">
        <v>710</v>
      </c>
      <c r="G259" s="14" t="s">
        <v>711</v>
      </c>
      <c r="H259" s="15">
        <f>IFERROR(VLOOKUP(B259,Orders!$A:$I,6,0),"")</f>
        <v>407</v>
      </c>
      <c r="I259" s="14" t="str">
        <f>IFERROR(VLOOKUP(B259,Orders!$A:$I,8,0),"")</f>
        <v>FOB Destination</v>
      </c>
      <c r="J259" s="16">
        <f t="shared" si="9"/>
        <v>46022</v>
      </c>
      <c r="K259" s="15">
        <f t="shared" si="10"/>
        <v>118844</v>
      </c>
      <c r="L259" s="14" t="str">
        <f>IF(H259="","Excluded - no order",IF(J259&lt;Assumptions!$B$3,"Pre-Q4",IF(J259&lt;=Assumptions!$B$4,"Q4 2025","Deferred Q1 2026")))</f>
        <v>Q4 2025</v>
      </c>
    </row>
    <row r="260" spans="1:12" ht="15" customHeight="1" x14ac:dyDescent="0.2">
      <c r="A260" s="14" t="s">
        <v>712</v>
      </c>
      <c r="B260" s="14" t="s">
        <v>713</v>
      </c>
      <c r="C260" s="18">
        <v>45974</v>
      </c>
      <c r="D260" s="18">
        <v>45975</v>
      </c>
      <c r="E260" s="14">
        <v>315</v>
      </c>
      <c r="F260" s="14" t="s">
        <v>122</v>
      </c>
      <c r="G260" s="14" t="s">
        <v>123</v>
      </c>
      <c r="H260" s="15">
        <f>IFERROR(VLOOKUP(B260,Orders!$A:$I,6,0),"")</f>
        <v>226.21</v>
      </c>
      <c r="I260" s="14" t="str">
        <f>IFERROR(VLOOKUP(B260,Orders!$A:$I,8,0),"")</f>
        <v>FOB Shipping Point</v>
      </c>
      <c r="J260" s="16">
        <f t="shared" si="9"/>
        <v>45974</v>
      </c>
      <c r="K260" s="15">
        <f t="shared" si="10"/>
        <v>71256.150000000009</v>
      </c>
      <c r="L260" s="14" t="str">
        <f>IF(H260="","Excluded - no order",IF(J260&lt;Assumptions!$B$3,"Pre-Q4",IF(J260&lt;=Assumptions!$B$4,"Q4 2025","Deferred Q1 2026")))</f>
        <v>Q4 2025</v>
      </c>
    </row>
    <row r="261" spans="1:12" ht="15" customHeight="1" x14ac:dyDescent="0.2">
      <c r="A261" s="14" t="s">
        <v>714</v>
      </c>
      <c r="B261" s="14" t="s">
        <v>715</v>
      </c>
      <c r="C261" s="18">
        <v>45992</v>
      </c>
      <c r="D261" s="18">
        <v>45998</v>
      </c>
      <c r="E261" s="14">
        <v>900</v>
      </c>
      <c r="F261" s="14" t="s">
        <v>716</v>
      </c>
      <c r="G261" s="14" t="s">
        <v>717</v>
      </c>
      <c r="H261" s="15">
        <f>IFERROR(VLOOKUP(B261,Orders!$A:$I,6,0),"")</f>
        <v>102.68</v>
      </c>
      <c r="I261" s="14" t="str">
        <f>IFERROR(VLOOKUP(B261,Orders!$A:$I,8,0),"")</f>
        <v>FOB Shipping Point</v>
      </c>
      <c r="J261" s="16">
        <f t="shared" si="9"/>
        <v>45992</v>
      </c>
      <c r="K261" s="15">
        <f t="shared" si="10"/>
        <v>92412</v>
      </c>
      <c r="L261" s="14" t="str">
        <f>IF(H261="","Excluded - no order",IF(J261&lt;Assumptions!$B$3,"Pre-Q4",IF(J261&lt;=Assumptions!$B$4,"Q4 2025","Deferred Q1 2026")))</f>
        <v>Q4 2025</v>
      </c>
    </row>
    <row r="262" spans="1:12" ht="15" customHeight="1" x14ac:dyDescent="0.2">
      <c r="A262" s="14" t="s">
        <v>718</v>
      </c>
      <c r="B262" s="14" t="s">
        <v>715</v>
      </c>
      <c r="C262" s="18">
        <v>45994</v>
      </c>
      <c r="D262" s="18">
        <v>46000</v>
      </c>
      <c r="E262" s="14">
        <v>555</v>
      </c>
      <c r="F262" s="14" t="s">
        <v>719</v>
      </c>
      <c r="G262" s="14" t="s">
        <v>720</v>
      </c>
      <c r="H262" s="15">
        <f>IFERROR(VLOOKUP(B262,Orders!$A:$I,6,0),"")</f>
        <v>102.68</v>
      </c>
      <c r="I262" s="14" t="str">
        <f>IFERROR(VLOOKUP(B262,Orders!$A:$I,8,0),"")</f>
        <v>FOB Shipping Point</v>
      </c>
      <c r="J262" s="16">
        <f t="shared" si="9"/>
        <v>45994</v>
      </c>
      <c r="K262" s="15">
        <f t="shared" si="10"/>
        <v>56987.4</v>
      </c>
      <c r="L262" s="14" t="str">
        <f>IF(H262="","Excluded - no order",IF(J262&lt;Assumptions!$B$3,"Pre-Q4",IF(J262&lt;=Assumptions!$B$4,"Q4 2025","Deferred Q1 2026")))</f>
        <v>Q4 2025</v>
      </c>
    </row>
    <row r="263" spans="1:12" ht="15" customHeight="1" x14ac:dyDescent="0.2">
      <c r="A263" s="14" t="s">
        <v>721</v>
      </c>
      <c r="B263" s="14" t="s">
        <v>722</v>
      </c>
      <c r="C263" s="18">
        <v>45954</v>
      </c>
      <c r="D263" s="18">
        <v>45957</v>
      </c>
      <c r="E263" s="14">
        <v>1680</v>
      </c>
      <c r="F263" s="14" t="s">
        <v>118</v>
      </c>
      <c r="G263" s="14" t="s">
        <v>119</v>
      </c>
      <c r="H263" s="15">
        <f>IFERROR(VLOOKUP(B263,Orders!$A:$I,6,0),"")</f>
        <v>482.95</v>
      </c>
      <c r="I263" s="14" t="str">
        <f>IFERROR(VLOOKUP(B263,Orders!$A:$I,8,0),"")</f>
        <v>FOB Shipping Point</v>
      </c>
      <c r="J263" s="16">
        <f t="shared" ref="J263:J326" si="11">IF(I263="","",IF(I263="FOB Shipping Point",C263,D263))</f>
        <v>45954</v>
      </c>
      <c r="K263" s="15">
        <f t="shared" si="10"/>
        <v>811356</v>
      </c>
      <c r="L263" s="14" t="str">
        <f>IF(H263="","Excluded - no order",IF(J263&lt;Assumptions!$B$3,"Pre-Q4",IF(J263&lt;=Assumptions!$B$4,"Q4 2025","Deferred Q1 2026")))</f>
        <v>Q4 2025</v>
      </c>
    </row>
    <row r="264" spans="1:12" ht="15" customHeight="1" x14ac:dyDescent="0.2">
      <c r="A264" s="14" t="s">
        <v>723</v>
      </c>
      <c r="B264" s="14" t="s">
        <v>724</v>
      </c>
      <c r="C264" s="18">
        <v>45982</v>
      </c>
      <c r="D264" s="18">
        <v>45983</v>
      </c>
      <c r="E264" s="14">
        <v>1687</v>
      </c>
      <c r="F264" s="14" t="s">
        <v>112</v>
      </c>
      <c r="G264" s="14" t="s">
        <v>113</v>
      </c>
      <c r="H264" s="15">
        <f>IFERROR(VLOOKUP(B264,Orders!$A:$I,6,0),"")</f>
        <v>6.05</v>
      </c>
      <c r="I264" s="14" t="str">
        <f>IFERROR(VLOOKUP(B264,Orders!$A:$I,8,0),"")</f>
        <v>FOB Destination</v>
      </c>
      <c r="J264" s="16">
        <f t="shared" si="11"/>
        <v>45983</v>
      </c>
      <c r="K264" s="15">
        <f t="shared" si="10"/>
        <v>10206.35</v>
      </c>
      <c r="L264" s="14" t="str">
        <f>IF(H264="","Excluded - no order",IF(J264&lt;Assumptions!$B$3,"Pre-Q4",IF(J264&lt;=Assumptions!$B$4,"Q4 2025","Deferred Q1 2026")))</f>
        <v>Q4 2025</v>
      </c>
    </row>
    <row r="265" spans="1:12" ht="15" customHeight="1" x14ac:dyDescent="0.2">
      <c r="A265" s="14" t="s">
        <v>725</v>
      </c>
      <c r="B265" s="14" t="s">
        <v>726</v>
      </c>
      <c r="C265" s="18">
        <v>46017</v>
      </c>
      <c r="D265" s="18">
        <v>46018</v>
      </c>
      <c r="E265" s="14">
        <v>1599</v>
      </c>
      <c r="F265" s="14" t="s">
        <v>108</v>
      </c>
      <c r="G265" s="14" t="s">
        <v>109</v>
      </c>
      <c r="H265" s="15">
        <f>IFERROR(VLOOKUP(B265,Orders!$A:$I,6,0),"")</f>
        <v>406.41</v>
      </c>
      <c r="I265" s="14" t="str">
        <f>IFERROR(VLOOKUP(B265,Orders!$A:$I,8,0),"")</f>
        <v>FOB Shipping Point</v>
      </c>
      <c r="J265" s="16">
        <f t="shared" si="11"/>
        <v>46017</v>
      </c>
      <c r="K265" s="15">
        <f t="shared" si="10"/>
        <v>649849.59000000008</v>
      </c>
      <c r="L265" s="14" t="str">
        <f>IF(H265="","Excluded - no order",IF(J265&lt;Assumptions!$B$3,"Pre-Q4",IF(J265&lt;=Assumptions!$B$4,"Q4 2025","Deferred Q1 2026")))</f>
        <v>Q4 2025</v>
      </c>
    </row>
    <row r="266" spans="1:12" ht="15" customHeight="1" x14ac:dyDescent="0.2">
      <c r="A266" s="14" t="s">
        <v>727</v>
      </c>
      <c r="B266" s="14" t="s">
        <v>728</v>
      </c>
      <c r="C266" s="18">
        <v>46016</v>
      </c>
      <c r="D266" s="18">
        <v>46020</v>
      </c>
      <c r="E266" s="14">
        <v>524</v>
      </c>
      <c r="F266" s="14" t="s">
        <v>130</v>
      </c>
      <c r="G266" s="14" t="s">
        <v>131</v>
      </c>
      <c r="H266" s="15">
        <f>IFERROR(VLOOKUP(B266,Orders!$A:$I,6,0),"")</f>
        <v>23.75</v>
      </c>
      <c r="I266" s="14" t="str">
        <f>IFERROR(VLOOKUP(B266,Orders!$A:$I,8,0),"")</f>
        <v>FOB Shipping Point</v>
      </c>
      <c r="J266" s="16">
        <f t="shared" si="11"/>
        <v>46016</v>
      </c>
      <c r="K266" s="15">
        <f t="shared" si="10"/>
        <v>12445</v>
      </c>
      <c r="L266" s="14" t="str">
        <f>IF(H266="","Excluded - no order",IF(J266&lt;Assumptions!$B$3,"Pre-Q4",IF(J266&lt;=Assumptions!$B$4,"Q4 2025","Deferred Q1 2026")))</f>
        <v>Q4 2025</v>
      </c>
    </row>
    <row r="267" spans="1:12" ht="15" customHeight="1" x14ac:dyDescent="0.2">
      <c r="A267" s="14" t="s">
        <v>729</v>
      </c>
      <c r="B267" s="14" t="s">
        <v>728</v>
      </c>
      <c r="C267" s="18">
        <v>46018</v>
      </c>
      <c r="D267" s="18">
        <v>46022</v>
      </c>
      <c r="E267" s="14">
        <v>737</v>
      </c>
      <c r="F267" s="14" t="s">
        <v>134</v>
      </c>
      <c r="G267" s="14" t="s">
        <v>135</v>
      </c>
      <c r="H267" s="15">
        <f>IFERROR(VLOOKUP(B267,Orders!$A:$I,6,0),"")</f>
        <v>23.75</v>
      </c>
      <c r="I267" s="14" t="str">
        <f>IFERROR(VLOOKUP(B267,Orders!$A:$I,8,0),"")</f>
        <v>FOB Shipping Point</v>
      </c>
      <c r="J267" s="16">
        <f t="shared" si="11"/>
        <v>46018</v>
      </c>
      <c r="K267" s="15">
        <f t="shared" si="10"/>
        <v>17503.75</v>
      </c>
      <c r="L267" s="14" t="str">
        <f>IF(H267="","Excluded - no order",IF(J267&lt;Assumptions!$B$3,"Pre-Q4",IF(J267&lt;=Assumptions!$B$4,"Q4 2025","Deferred Q1 2026")))</f>
        <v>Q4 2025</v>
      </c>
    </row>
    <row r="268" spans="1:12" ht="15" customHeight="1" x14ac:dyDescent="0.2">
      <c r="A268" s="14" t="s">
        <v>730</v>
      </c>
      <c r="B268" s="14" t="s">
        <v>731</v>
      </c>
      <c r="C268" s="18">
        <v>45949</v>
      </c>
      <c r="D268" s="18">
        <v>45951</v>
      </c>
      <c r="E268" s="14">
        <v>1553</v>
      </c>
      <c r="F268" s="14" t="s">
        <v>122</v>
      </c>
      <c r="G268" s="14" t="s">
        <v>123</v>
      </c>
      <c r="H268" s="15">
        <f>IFERROR(VLOOKUP(B268,Orders!$A:$I,6,0),"")</f>
        <v>112.31</v>
      </c>
      <c r="I268" s="14" t="str">
        <f>IFERROR(VLOOKUP(B268,Orders!$A:$I,8,0),"")</f>
        <v>FOB Destination</v>
      </c>
      <c r="J268" s="16">
        <f t="shared" si="11"/>
        <v>45951</v>
      </c>
      <c r="K268" s="15">
        <f t="shared" si="10"/>
        <v>174417.43</v>
      </c>
      <c r="L268" s="14" t="str">
        <f>IF(H268="","Excluded - no order",IF(J268&lt;Assumptions!$B$3,"Pre-Q4",IF(J268&lt;=Assumptions!$B$4,"Q4 2025","Deferred Q1 2026")))</f>
        <v>Q4 2025</v>
      </c>
    </row>
    <row r="269" spans="1:12" ht="15" customHeight="1" x14ac:dyDescent="0.2">
      <c r="A269" s="14" t="s">
        <v>732</v>
      </c>
      <c r="B269" s="14" t="s">
        <v>733</v>
      </c>
      <c r="C269" s="18">
        <v>45989</v>
      </c>
      <c r="D269" s="18">
        <v>45993</v>
      </c>
      <c r="E269" s="14">
        <v>315</v>
      </c>
      <c r="F269" s="14" t="s">
        <v>161</v>
      </c>
      <c r="G269" s="14" t="s">
        <v>162</v>
      </c>
      <c r="H269" s="15">
        <f>IFERROR(VLOOKUP(B269,Orders!$A:$I,6,0),"")</f>
        <v>373.63</v>
      </c>
      <c r="I269" s="14" t="str">
        <f>IFERROR(VLOOKUP(B269,Orders!$A:$I,8,0),"")</f>
        <v>FOB Shipping Point</v>
      </c>
      <c r="J269" s="16">
        <f t="shared" si="11"/>
        <v>45989</v>
      </c>
      <c r="K269" s="15">
        <f t="shared" si="10"/>
        <v>117693.45</v>
      </c>
      <c r="L269" s="14" t="str">
        <f>IF(H269="","Excluded - no order",IF(J269&lt;Assumptions!$B$3,"Pre-Q4",IF(J269&lt;=Assumptions!$B$4,"Q4 2025","Deferred Q1 2026")))</f>
        <v>Q4 2025</v>
      </c>
    </row>
    <row r="270" spans="1:12" ht="15" customHeight="1" x14ac:dyDescent="0.2">
      <c r="A270" s="14" t="s">
        <v>734</v>
      </c>
      <c r="B270" s="14" t="s">
        <v>735</v>
      </c>
      <c r="C270" s="18">
        <v>46018</v>
      </c>
      <c r="D270" s="18">
        <v>46019</v>
      </c>
      <c r="E270" s="14">
        <v>1758</v>
      </c>
      <c r="F270" s="14" t="s">
        <v>118</v>
      </c>
      <c r="G270" s="14" t="s">
        <v>119</v>
      </c>
      <c r="H270" s="15">
        <f>IFERROR(VLOOKUP(B270,Orders!$A:$I,6,0),"")</f>
        <v>313.81</v>
      </c>
      <c r="I270" s="14" t="str">
        <f>IFERROR(VLOOKUP(B270,Orders!$A:$I,8,0),"")</f>
        <v>FOB Destination</v>
      </c>
      <c r="J270" s="16">
        <f t="shared" si="11"/>
        <v>46019</v>
      </c>
      <c r="K270" s="15">
        <f t="shared" si="10"/>
        <v>551677.98</v>
      </c>
      <c r="L270" s="14" t="str">
        <f>IF(H270="","Excluded - no order",IF(J270&lt;Assumptions!$B$3,"Pre-Q4",IF(J270&lt;=Assumptions!$B$4,"Q4 2025","Deferred Q1 2026")))</f>
        <v>Q4 2025</v>
      </c>
    </row>
    <row r="271" spans="1:12" ht="15" customHeight="1" x14ac:dyDescent="0.2">
      <c r="A271" s="14" t="s">
        <v>736</v>
      </c>
      <c r="B271" s="14" t="s">
        <v>737</v>
      </c>
      <c r="C271" s="18">
        <v>45951</v>
      </c>
      <c r="D271" s="18">
        <v>45956</v>
      </c>
      <c r="E271" s="14">
        <v>1979</v>
      </c>
      <c r="F271" s="14" t="s">
        <v>171</v>
      </c>
      <c r="G271" s="14" t="s">
        <v>172</v>
      </c>
      <c r="H271" s="15">
        <f>IFERROR(VLOOKUP(B271,Orders!$A:$I,6,0),"")</f>
        <v>62.29</v>
      </c>
      <c r="I271" s="14" t="str">
        <f>IFERROR(VLOOKUP(B271,Orders!$A:$I,8,0),"")</f>
        <v>FOB Destination</v>
      </c>
      <c r="J271" s="16">
        <f t="shared" si="11"/>
        <v>45956</v>
      </c>
      <c r="K271" s="15">
        <f t="shared" si="10"/>
        <v>123271.91</v>
      </c>
      <c r="L271" s="14" t="str">
        <f>IF(H271="","Excluded - no order",IF(J271&lt;Assumptions!$B$3,"Pre-Q4",IF(J271&lt;=Assumptions!$B$4,"Q4 2025","Deferred Q1 2026")))</f>
        <v>Q4 2025</v>
      </c>
    </row>
    <row r="272" spans="1:12" ht="15" customHeight="1" x14ac:dyDescent="0.2">
      <c r="A272" s="14" t="s">
        <v>738</v>
      </c>
      <c r="B272" s="14" t="s">
        <v>739</v>
      </c>
      <c r="C272" s="18">
        <v>46013</v>
      </c>
      <c r="D272" s="18">
        <v>46015</v>
      </c>
      <c r="E272" s="14">
        <v>173</v>
      </c>
      <c r="F272" s="14" t="s">
        <v>199</v>
      </c>
      <c r="G272" s="14" t="s">
        <v>200</v>
      </c>
      <c r="H272" s="15">
        <f>IFERROR(VLOOKUP(B272,Orders!$A:$I,6,0),"")</f>
        <v>332.4</v>
      </c>
      <c r="I272" s="14" t="str">
        <f>IFERROR(VLOOKUP(B272,Orders!$A:$I,8,0),"")</f>
        <v>FOB Destination</v>
      </c>
      <c r="J272" s="16">
        <f t="shared" si="11"/>
        <v>46015</v>
      </c>
      <c r="K272" s="15">
        <f t="shared" si="10"/>
        <v>57505.2</v>
      </c>
      <c r="L272" s="14" t="str">
        <f>IF(H272="","Excluded - no order",IF(J272&lt;Assumptions!$B$3,"Pre-Q4",IF(J272&lt;=Assumptions!$B$4,"Q4 2025","Deferred Q1 2026")))</f>
        <v>Q4 2025</v>
      </c>
    </row>
    <row r="273" spans="1:12" ht="15" customHeight="1" x14ac:dyDescent="0.2">
      <c r="A273" s="14" t="s">
        <v>740</v>
      </c>
      <c r="B273" s="14" t="s">
        <v>741</v>
      </c>
      <c r="C273" s="18">
        <v>45998</v>
      </c>
      <c r="D273" s="18">
        <v>46001</v>
      </c>
      <c r="E273" s="14">
        <v>970</v>
      </c>
      <c r="F273" s="14" t="s">
        <v>149</v>
      </c>
      <c r="G273" s="14" t="s">
        <v>150</v>
      </c>
      <c r="H273" s="15">
        <f>IFERROR(VLOOKUP(B273,Orders!$A:$I,6,0),"")</f>
        <v>69.14</v>
      </c>
      <c r="I273" s="14" t="str">
        <f>IFERROR(VLOOKUP(B273,Orders!$A:$I,8,0),"")</f>
        <v>FOB Shipping Point</v>
      </c>
      <c r="J273" s="16">
        <f t="shared" si="11"/>
        <v>45998</v>
      </c>
      <c r="K273" s="15">
        <f t="shared" si="10"/>
        <v>67065.8</v>
      </c>
      <c r="L273" s="14" t="str">
        <f>IF(H273="","Excluded - no order",IF(J273&lt;Assumptions!$B$3,"Pre-Q4",IF(J273&lt;=Assumptions!$B$4,"Q4 2025","Deferred Q1 2026")))</f>
        <v>Q4 2025</v>
      </c>
    </row>
    <row r="274" spans="1:12" ht="15" customHeight="1" x14ac:dyDescent="0.2">
      <c r="A274" s="14" t="s">
        <v>742</v>
      </c>
      <c r="B274" s="14" t="s">
        <v>743</v>
      </c>
      <c r="C274" s="18">
        <v>45952</v>
      </c>
      <c r="D274" s="18">
        <v>45953</v>
      </c>
      <c r="E274" s="14">
        <v>1414</v>
      </c>
      <c r="F274" s="14" t="s">
        <v>149</v>
      </c>
      <c r="G274" s="14" t="s">
        <v>150</v>
      </c>
      <c r="H274" s="15">
        <f>IFERROR(VLOOKUP(B274,Orders!$A:$I,6,0),"")</f>
        <v>210.69</v>
      </c>
      <c r="I274" s="14" t="str">
        <f>IFERROR(VLOOKUP(B274,Orders!$A:$I,8,0),"")</f>
        <v>FOB Shipping Point</v>
      </c>
      <c r="J274" s="16">
        <f t="shared" si="11"/>
        <v>45952</v>
      </c>
      <c r="K274" s="15">
        <f t="shared" si="10"/>
        <v>297915.65999999997</v>
      </c>
      <c r="L274" s="14" t="str">
        <f>IF(H274="","Excluded - no order",IF(J274&lt;Assumptions!$B$3,"Pre-Q4",IF(J274&lt;=Assumptions!$B$4,"Q4 2025","Deferred Q1 2026")))</f>
        <v>Q4 2025</v>
      </c>
    </row>
    <row r="275" spans="1:12" ht="15" customHeight="1" x14ac:dyDescent="0.2">
      <c r="A275" s="14" t="s">
        <v>744</v>
      </c>
      <c r="B275" s="14" t="s">
        <v>745</v>
      </c>
      <c r="C275" s="18">
        <v>45955</v>
      </c>
      <c r="D275" s="18">
        <v>45956</v>
      </c>
      <c r="E275" s="14">
        <v>761</v>
      </c>
      <c r="F275" s="14" t="s">
        <v>100</v>
      </c>
      <c r="G275" s="14" t="s">
        <v>101</v>
      </c>
      <c r="H275" s="15">
        <f>IFERROR(VLOOKUP(B275,Orders!$A:$I,6,0),"")</f>
        <v>280.86</v>
      </c>
      <c r="I275" s="14" t="str">
        <f>IFERROR(VLOOKUP(B275,Orders!$A:$I,8,0),"")</f>
        <v>FOB Shipping Point</v>
      </c>
      <c r="J275" s="16">
        <f t="shared" si="11"/>
        <v>45955</v>
      </c>
      <c r="K275" s="15">
        <f t="shared" si="10"/>
        <v>213734.46000000002</v>
      </c>
      <c r="L275" s="14" t="str">
        <f>IF(H275="","Excluded - no order",IF(J275&lt;Assumptions!$B$3,"Pre-Q4",IF(J275&lt;=Assumptions!$B$4,"Q4 2025","Deferred Q1 2026")))</f>
        <v>Q4 2025</v>
      </c>
    </row>
    <row r="276" spans="1:12" ht="15" customHeight="1" x14ac:dyDescent="0.2">
      <c r="A276" s="14" t="s">
        <v>746</v>
      </c>
      <c r="B276" s="14" t="s">
        <v>745</v>
      </c>
      <c r="C276" s="18">
        <v>45957</v>
      </c>
      <c r="D276" s="18">
        <v>45958</v>
      </c>
      <c r="E276" s="14">
        <v>349</v>
      </c>
      <c r="F276" s="14" t="s">
        <v>112</v>
      </c>
      <c r="G276" s="14" t="s">
        <v>113</v>
      </c>
      <c r="H276" s="15">
        <f>IFERROR(VLOOKUP(B276,Orders!$A:$I,6,0),"")</f>
        <v>280.86</v>
      </c>
      <c r="I276" s="14" t="str">
        <f>IFERROR(VLOOKUP(B276,Orders!$A:$I,8,0),"")</f>
        <v>FOB Shipping Point</v>
      </c>
      <c r="J276" s="16">
        <f t="shared" si="11"/>
        <v>45957</v>
      </c>
      <c r="K276" s="15">
        <f t="shared" si="10"/>
        <v>98020.14</v>
      </c>
      <c r="L276" s="14" t="str">
        <f>IF(H276="","Excluded - no order",IF(J276&lt;Assumptions!$B$3,"Pre-Q4",IF(J276&lt;=Assumptions!$B$4,"Q4 2025","Deferred Q1 2026")))</f>
        <v>Q4 2025</v>
      </c>
    </row>
    <row r="277" spans="1:12" ht="15" customHeight="1" x14ac:dyDescent="0.2">
      <c r="A277" s="14" t="s">
        <v>747</v>
      </c>
      <c r="B277" s="14" t="s">
        <v>748</v>
      </c>
      <c r="C277" s="18">
        <v>45963</v>
      </c>
      <c r="D277" s="18">
        <v>45964</v>
      </c>
      <c r="E277" s="14">
        <v>207</v>
      </c>
      <c r="F277" s="14" t="s">
        <v>749</v>
      </c>
      <c r="G277" s="14" t="s">
        <v>750</v>
      </c>
      <c r="H277" s="15">
        <f>IFERROR(VLOOKUP(B277,Orders!$A:$I,6,0),"")</f>
        <v>129.05000000000001</v>
      </c>
      <c r="I277" s="14" t="str">
        <f>IFERROR(VLOOKUP(B277,Orders!$A:$I,8,0),"")</f>
        <v>FOB Shipping Point</v>
      </c>
      <c r="J277" s="16">
        <f t="shared" si="11"/>
        <v>45963</v>
      </c>
      <c r="K277" s="15">
        <f t="shared" si="10"/>
        <v>26713.350000000002</v>
      </c>
      <c r="L277" s="14" t="str">
        <f>IF(H277="","Excluded - no order",IF(J277&lt;Assumptions!$B$3,"Pre-Q4",IF(J277&lt;=Assumptions!$B$4,"Q4 2025","Deferred Q1 2026")))</f>
        <v>Q4 2025</v>
      </c>
    </row>
    <row r="278" spans="1:12" ht="15" customHeight="1" x14ac:dyDescent="0.2">
      <c r="A278" s="14" t="s">
        <v>751</v>
      </c>
      <c r="B278" s="14" t="s">
        <v>752</v>
      </c>
      <c r="C278" s="18">
        <v>45951</v>
      </c>
      <c r="D278" s="18">
        <v>45953</v>
      </c>
      <c r="E278" s="14">
        <v>1953</v>
      </c>
      <c r="F278" s="14" t="s">
        <v>77</v>
      </c>
      <c r="G278" s="14" t="s">
        <v>78</v>
      </c>
      <c r="H278" s="15">
        <f>IFERROR(VLOOKUP(B278,Orders!$A:$I,6,0),"")</f>
        <v>259.51</v>
      </c>
      <c r="I278" s="14" t="str">
        <f>IFERROR(VLOOKUP(B278,Orders!$A:$I,8,0),"")</f>
        <v>FOB Destination</v>
      </c>
      <c r="J278" s="16">
        <f t="shared" si="11"/>
        <v>45953</v>
      </c>
      <c r="K278" s="15">
        <f t="shared" si="10"/>
        <v>506823.02999999997</v>
      </c>
      <c r="L278" s="14" t="str">
        <f>IF(H278="","Excluded - no order",IF(J278&lt;Assumptions!$B$3,"Pre-Q4",IF(J278&lt;=Assumptions!$B$4,"Q4 2025","Deferred Q1 2026")))</f>
        <v>Q4 2025</v>
      </c>
    </row>
    <row r="279" spans="1:12" ht="15" customHeight="1" x14ac:dyDescent="0.2">
      <c r="A279" s="14" t="s">
        <v>753</v>
      </c>
      <c r="B279" s="14" t="s">
        <v>754</v>
      </c>
      <c r="C279" s="18">
        <v>45981</v>
      </c>
      <c r="D279" s="18">
        <v>45985</v>
      </c>
      <c r="E279" s="14">
        <v>1355</v>
      </c>
      <c r="F279" s="14" t="s">
        <v>77</v>
      </c>
      <c r="G279" s="14" t="s">
        <v>78</v>
      </c>
      <c r="H279" s="15">
        <f>IFERROR(VLOOKUP(B279,Orders!$A:$I,6,0),"")</f>
        <v>343.72</v>
      </c>
      <c r="I279" s="14" t="str">
        <f>IFERROR(VLOOKUP(B279,Orders!$A:$I,8,0),"")</f>
        <v>FOB Destination</v>
      </c>
      <c r="J279" s="16">
        <f t="shared" si="11"/>
        <v>45985</v>
      </c>
      <c r="K279" s="15">
        <f t="shared" si="10"/>
        <v>465740.60000000003</v>
      </c>
      <c r="L279" s="14" t="str">
        <f>IF(H279="","Excluded - no order",IF(J279&lt;Assumptions!$B$3,"Pre-Q4",IF(J279&lt;=Assumptions!$B$4,"Q4 2025","Deferred Q1 2026")))</f>
        <v>Q4 2025</v>
      </c>
    </row>
    <row r="280" spans="1:12" ht="15" customHeight="1" x14ac:dyDescent="0.2">
      <c r="A280" s="14" t="s">
        <v>755</v>
      </c>
      <c r="B280" s="14" t="s">
        <v>756</v>
      </c>
      <c r="C280" s="18">
        <v>45975</v>
      </c>
      <c r="D280" s="18">
        <v>45976</v>
      </c>
      <c r="E280" s="14">
        <v>1441</v>
      </c>
      <c r="F280" s="14" t="s">
        <v>757</v>
      </c>
      <c r="G280" s="14" t="s">
        <v>758</v>
      </c>
      <c r="H280" s="15">
        <f>IFERROR(VLOOKUP(B280,Orders!$A:$I,6,0),"")</f>
        <v>161.69</v>
      </c>
      <c r="I280" s="14" t="str">
        <f>IFERROR(VLOOKUP(B280,Orders!$A:$I,8,0),"")</f>
        <v>FOB Destination</v>
      </c>
      <c r="J280" s="16">
        <f t="shared" si="11"/>
        <v>45976</v>
      </c>
      <c r="K280" s="15">
        <f t="shared" si="10"/>
        <v>232995.29</v>
      </c>
      <c r="L280" s="14" t="str">
        <f>IF(H280="","Excluded - no order",IF(J280&lt;Assumptions!$B$3,"Pre-Q4",IF(J280&lt;=Assumptions!$B$4,"Q4 2025","Deferred Q1 2026")))</f>
        <v>Q4 2025</v>
      </c>
    </row>
    <row r="281" spans="1:12" ht="15" customHeight="1" x14ac:dyDescent="0.2">
      <c r="A281" s="14" t="s">
        <v>759</v>
      </c>
      <c r="B281" s="14" t="s">
        <v>760</v>
      </c>
      <c r="C281" s="18">
        <v>45962</v>
      </c>
      <c r="D281" s="18">
        <v>45967</v>
      </c>
      <c r="E281" s="14">
        <v>515</v>
      </c>
      <c r="F281" s="14" t="s">
        <v>122</v>
      </c>
      <c r="G281" s="14" t="s">
        <v>123</v>
      </c>
      <c r="H281" s="15">
        <f>IFERROR(VLOOKUP(B281,Orders!$A:$I,6,0),"")</f>
        <v>446.64</v>
      </c>
      <c r="I281" s="14" t="str">
        <f>IFERROR(VLOOKUP(B281,Orders!$A:$I,8,0),"")</f>
        <v>FOB Shipping Point</v>
      </c>
      <c r="J281" s="16">
        <f t="shared" si="11"/>
        <v>45962</v>
      </c>
      <c r="K281" s="15">
        <f t="shared" si="10"/>
        <v>230019.6</v>
      </c>
      <c r="L281" s="14" t="str">
        <f>IF(H281="","Excluded - no order",IF(J281&lt;Assumptions!$B$3,"Pre-Q4",IF(J281&lt;=Assumptions!$B$4,"Q4 2025","Deferred Q1 2026")))</f>
        <v>Q4 2025</v>
      </c>
    </row>
    <row r="282" spans="1:12" ht="15" customHeight="1" x14ac:dyDescent="0.2">
      <c r="A282" s="14" t="s">
        <v>761</v>
      </c>
      <c r="B282" s="14" t="s">
        <v>762</v>
      </c>
      <c r="C282" s="18">
        <v>45992</v>
      </c>
      <c r="D282" s="18">
        <v>45996</v>
      </c>
      <c r="E282" s="14">
        <v>1932</v>
      </c>
      <c r="F282" s="14" t="s">
        <v>118</v>
      </c>
      <c r="G282" s="14" t="s">
        <v>119</v>
      </c>
      <c r="H282" s="15">
        <f>IFERROR(VLOOKUP(B282,Orders!$A:$I,6,0),"")</f>
        <v>445.86</v>
      </c>
      <c r="I282" s="14" t="str">
        <f>IFERROR(VLOOKUP(B282,Orders!$A:$I,8,0),"")</f>
        <v>FOB Shipping Point</v>
      </c>
      <c r="J282" s="16">
        <f t="shared" si="11"/>
        <v>45992</v>
      </c>
      <c r="K282" s="15">
        <f t="shared" si="10"/>
        <v>861401.52</v>
      </c>
      <c r="L282" s="14" t="str">
        <f>IF(H282="","Excluded - no order",IF(J282&lt;Assumptions!$B$3,"Pre-Q4",IF(J282&lt;=Assumptions!$B$4,"Q4 2025","Deferred Q1 2026")))</f>
        <v>Q4 2025</v>
      </c>
    </row>
    <row r="283" spans="1:12" ht="15" customHeight="1" x14ac:dyDescent="0.2">
      <c r="A283" s="14" t="s">
        <v>763</v>
      </c>
      <c r="B283" s="14" t="s">
        <v>764</v>
      </c>
      <c r="C283" s="18">
        <v>45994</v>
      </c>
      <c r="D283" s="18">
        <v>45998</v>
      </c>
      <c r="E283" s="14">
        <v>23</v>
      </c>
      <c r="F283" s="14" t="s">
        <v>765</v>
      </c>
      <c r="G283" s="14" t="s">
        <v>766</v>
      </c>
      <c r="H283" s="15">
        <f>IFERROR(VLOOKUP(B283,Orders!$A:$I,6,0),"")</f>
        <v>275.98</v>
      </c>
      <c r="I283" s="14" t="str">
        <f>IFERROR(VLOOKUP(B283,Orders!$A:$I,8,0),"")</f>
        <v>FOB Destination</v>
      </c>
      <c r="J283" s="16">
        <f t="shared" si="11"/>
        <v>45998</v>
      </c>
      <c r="K283" s="15">
        <f t="shared" si="10"/>
        <v>6347.5400000000009</v>
      </c>
      <c r="L283" s="14" t="str">
        <f>IF(H283="","Excluded - no order",IF(J283&lt;Assumptions!$B$3,"Pre-Q4",IF(J283&lt;=Assumptions!$B$4,"Q4 2025","Deferred Q1 2026")))</f>
        <v>Q4 2025</v>
      </c>
    </row>
    <row r="284" spans="1:12" ht="15" customHeight="1" x14ac:dyDescent="0.2">
      <c r="A284" s="14" t="s">
        <v>767</v>
      </c>
      <c r="B284" s="14" t="s">
        <v>768</v>
      </c>
      <c r="C284" s="18">
        <v>46000</v>
      </c>
      <c r="D284" s="18">
        <v>46005</v>
      </c>
      <c r="E284" s="14">
        <v>1174</v>
      </c>
      <c r="F284" s="14" t="s">
        <v>769</v>
      </c>
      <c r="G284" s="14" t="s">
        <v>770</v>
      </c>
      <c r="H284" s="15">
        <f>IFERROR(VLOOKUP(B284,Orders!$A:$I,6,0),"")</f>
        <v>182.58</v>
      </c>
      <c r="I284" s="14" t="str">
        <f>IFERROR(VLOOKUP(B284,Orders!$A:$I,8,0),"")</f>
        <v>FOB Shipping Point</v>
      </c>
      <c r="J284" s="16">
        <f t="shared" si="11"/>
        <v>46000</v>
      </c>
      <c r="K284" s="15">
        <f t="shared" si="10"/>
        <v>214348.92</v>
      </c>
      <c r="L284" s="14" t="str">
        <f>IF(H284="","Excluded - no order",IF(J284&lt;Assumptions!$B$3,"Pre-Q4",IF(J284&lt;=Assumptions!$B$4,"Q4 2025","Deferred Q1 2026")))</f>
        <v>Q4 2025</v>
      </c>
    </row>
    <row r="285" spans="1:12" ht="15" customHeight="1" x14ac:dyDescent="0.2">
      <c r="A285" s="14" t="s">
        <v>771</v>
      </c>
      <c r="B285" s="14" t="s">
        <v>772</v>
      </c>
      <c r="C285" s="18">
        <v>46005</v>
      </c>
      <c r="D285" s="18">
        <v>46009</v>
      </c>
      <c r="E285" s="14">
        <v>135</v>
      </c>
      <c r="F285" s="14" t="s">
        <v>122</v>
      </c>
      <c r="G285" s="14" t="s">
        <v>123</v>
      </c>
      <c r="H285" s="15">
        <f>IFERROR(VLOOKUP(B285,Orders!$A:$I,6,0),"")</f>
        <v>499.43</v>
      </c>
      <c r="I285" s="14" t="str">
        <f>IFERROR(VLOOKUP(B285,Orders!$A:$I,8,0),"")</f>
        <v>FOB Shipping Point</v>
      </c>
      <c r="J285" s="16">
        <f t="shared" si="11"/>
        <v>46005</v>
      </c>
      <c r="K285" s="15">
        <f t="shared" si="10"/>
        <v>67423.05</v>
      </c>
      <c r="L285" s="14" t="str">
        <f>IF(H285="","Excluded - no order",IF(J285&lt;Assumptions!$B$3,"Pre-Q4",IF(J285&lt;=Assumptions!$B$4,"Q4 2025","Deferred Q1 2026")))</f>
        <v>Q4 2025</v>
      </c>
    </row>
    <row r="286" spans="1:12" ht="15" customHeight="1" x14ac:dyDescent="0.2">
      <c r="A286" s="14" t="s">
        <v>773</v>
      </c>
      <c r="B286" s="14" t="s">
        <v>774</v>
      </c>
      <c r="C286" s="18">
        <v>46013</v>
      </c>
      <c r="D286" s="18">
        <v>46017</v>
      </c>
      <c r="E286" s="14">
        <v>427</v>
      </c>
      <c r="F286" s="14" t="s">
        <v>207</v>
      </c>
      <c r="G286" s="14" t="s">
        <v>208</v>
      </c>
      <c r="H286" s="15">
        <f>IFERROR(VLOOKUP(B286,Orders!$A:$I,6,0),"")</f>
        <v>422.61</v>
      </c>
      <c r="I286" s="14" t="str">
        <f>IFERROR(VLOOKUP(B286,Orders!$A:$I,8,0),"")</f>
        <v>FOB Destination</v>
      </c>
      <c r="J286" s="16">
        <f t="shared" si="11"/>
        <v>46017</v>
      </c>
      <c r="K286" s="15">
        <f t="shared" si="10"/>
        <v>180454.47</v>
      </c>
      <c r="L286" s="14" t="str">
        <f>IF(H286="","Excluded - no order",IF(J286&lt;Assumptions!$B$3,"Pre-Q4",IF(J286&lt;=Assumptions!$B$4,"Q4 2025","Deferred Q1 2026")))</f>
        <v>Q4 2025</v>
      </c>
    </row>
    <row r="287" spans="1:12" ht="15" customHeight="1" x14ac:dyDescent="0.2">
      <c r="A287" s="14" t="s">
        <v>775</v>
      </c>
      <c r="B287" s="14" t="s">
        <v>776</v>
      </c>
      <c r="C287" s="18">
        <v>45965</v>
      </c>
      <c r="D287" s="18">
        <v>45969</v>
      </c>
      <c r="E287" s="14">
        <v>448</v>
      </c>
      <c r="F287" s="14" t="s">
        <v>73</v>
      </c>
      <c r="G287" s="14" t="s">
        <v>74</v>
      </c>
      <c r="H287" s="15">
        <f>IFERROR(VLOOKUP(B287,Orders!$A:$I,6,0),"")</f>
        <v>281.45999999999998</v>
      </c>
      <c r="I287" s="14" t="str">
        <f>IFERROR(VLOOKUP(B287,Orders!$A:$I,8,0),"")</f>
        <v>FOB Shipping Point</v>
      </c>
      <c r="J287" s="16">
        <f t="shared" si="11"/>
        <v>45965</v>
      </c>
      <c r="K287" s="15">
        <f t="shared" si="10"/>
        <v>126094.07999999999</v>
      </c>
      <c r="L287" s="14" t="str">
        <f>IF(H287="","Excluded - no order",IF(J287&lt;Assumptions!$B$3,"Pre-Q4",IF(J287&lt;=Assumptions!$B$4,"Q4 2025","Deferred Q1 2026")))</f>
        <v>Q4 2025</v>
      </c>
    </row>
    <row r="288" spans="1:12" ht="15" customHeight="1" x14ac:dyDescent="0.2">
      <c r="A288" s="14" t="s">
        <v>777</v>
      </c>
      <c r="B288" s="14" t="s">
        <v>778</v>
      </c>
      <c r="C288" s="18">
        <v>45994</v>
      </c>
      <c r="D288" s="18">
        <v>45996</v>
      </c>
      <c r="E288" s="14">
        <v>286</v>
      </c>
      <c r="F288" s="14" t="s">
        <v>779</v>
      </c>
      <c r="G288" s="14" t="s">
        <v>780</v>
      </c>
      <c r="H288" s="15">
        <f>IFERROR(VLOOKUP(B288,Orders!$A:$I,6,0),"")</f>
        <v>198.1</v>
      </c>
      <c r="I288" s="14" t="str">
        <f>IFERROR(VLOOKUP(B288,Orders!$A:$I,8,0),"")</f>
        <v>FOB Destination</v>
      </c>
      <c r="J288" s="16">
        <f t="shared" si="11"/>
        <v>45996</v>
      </c>
      <c r="K288" s="15">
        <f t="shared" si="10"/>
        <v>56656.6</v>
      </c>
      <c r="L288" s="14" t="str">
        <f>IF(H288="","Excluded - no order",IF(J288&lt;Assumptions!$B$3,"Pre-Q4",IF(J288&lt;=Assumptions!$B$4,"Q4 2025","Deferred Q1 2026")))</f>
        <v>Q4 2025</v>
      </c>
    </row>
    <row r="289" spans="1:12" ht="15" customHeight="1" x14ac:dyDescent="0.2">
      <c r="A289" s="14" t="s">
        <v>781</v>
      </c>
      <c r="B289" s="14" t="s">
        <v>782</v>
      </c>
      <c r="C289" s="18">
        <v>45947</v>
      </c>
      <c r="D289" s="18">
        <v>45948</v>
      </c>
      <c r="E289" s="14">
        <v>1441</v>
      </c>
      <c r="F289" s="14" t="s">
        <v>77</v>
      </c>
      <c r="G289" s="14" t="s">
        <v>78</v>
      </c>
      <c r="H289" s="15">
        <f>IFERROR(VLOOKUP(B289,Orders!$A:$I,6,0),"")</f>
        <v>230.63</v>
      </c>
      <c r="I289" s="14" t="str">
        <f>IFERROR(VLOOKUP(B289,Orders!$A:$I,8,0),"")</f>
        <v>FOB Shipping Point</v>
      </c>
      <c r="J289" s="16">
        <f t="shared" si="11"/>
        <v>45947</v>
      </c>
      <c r="K289" s="15">
        <f t="shared" si="10"/>
        <v>332337.83</v>
      </c>
      <c r="L289" s="14" t="str">
        <f>IF(H289="","Excluded - no order",IF(J289&lt;Assumptions!$B$3,"Pre-Q4",IF(J289&lt;=Assumptions!$B$4,"Q4 2025","Deferred Q1 2026")))</f>
        <v>Q4 2025</v>
      </c>
    </row>
    <row r="290" spans="1:12" ht="15" customHeight="1" x14ac:dyDescent="0.2">
      <c r="A290" s="14" t="s">
        <v>783</v>
      </c>
      <c r="B290" s="14" t="s">
        <v>784</v>
      </c>
      <c r="C290" s="18">
        <v>45959</v>
      </c>
      <c r="D290" s="18">
        <v>45963</v>
      </c>
      <c r="E290" s="14">
        <v>229</v>
      </c>
      <c r="F290" s="14" t="s">
        <v>77</v>
      </c>
      <c r="G290" s="14" t="s">
        <v>78</v>
      </c>
      <c r="H290" s="15">
        <f>IFERROR(VLOOKUP(B290,Orders!$A:$I,6,0),"")</f>
        <v>495.81</v>
      </c>
      <c r="I290" s="14" t="str">
        <f>IFERROR(VLOOKUP(B290,Orders!$A:$I,8,0),"")</f>
        <v>FOB Destination</v>
      </c>
      <c r="J290" s="16">
        <f t="shared" si="11"/>
        <v>45963</v>
      </c>
      <c r="K290" s="15">
        <f t="shared" si="10"/>
        <v>113540.49</v>
      </c>
      <c r="L290" s="14" t="str">
        <f>IF(H290="","Excluded - no order",IF(J290&lt;Assumptions!$B$3,"Pre-Q4",IF(J290&lt;=Assumptions!$B$4,"Q4 2025","Deferred Q1 2026")))</f>
        <v>Q4 2025</v>
      </c>
    </row>
    <row r="291" spans="1:12" ht="15" customHeight="1" x14ac:dyDescent="0.2">
      <c r="A291" s="14" t="s">
        <v>785</v>
      </c>
      <c r="B291" s="14" t="s">
        <v>786</v>
      </c>
      <c r="C291" s="18">
        <v>45957</v>
      </c>
      <c r="D291" s="18">
        <v>45963</v>
      </c>
      <c r="E291" s="14">
        <v>1955</v>
      </c>
      <c r="F291" s="14" t="s">
        <v>100</v>
      </c>
      <c r="G291" s="14" t="s">
        <v>101</v>
      </c>
      <c r="H291" s="15">
        <f>IFERROR(VLOOKUP(B291,Orders!$A:$I,6,0),"")</f>
        <v>153.87</v>
      </c>
      <c r="I291" s="14" t="str">
        <f>IFERROR(VLOOKUP(B291,Orders!$A:$I,8,0),"")</f>
        <v>FOB Shipping Point</v>
      </c>
      <c r="J291" s="16">
        <f t="shared" si="11"/>
        <v>45957</v>
      </c>
      <c r="K291" s="15">
        <f t="shared" si="10"/>
        <v>300815.85000000003</v>
      </c>
      <c r="L291" s="14" t="str">
        <f>IF(H291="","Excluded - no order",IF(J291&lt;Assumptions!$B$3,"Pre-Q4",IF(J291&lt;=Assumptions!$B$4,"Q4 2025","Deferred Q1 2026")))</f>
        <v>Q4 2025</v>
      </c>
    </row>
    <row r="292" spans="1:12" ht="15" customHeight="1" x14ac:dyDescent="0.2">
      <c r="A292" s="14" t="s">
        <v>787</v>
      </c>
      <c r="B292" s="14" t="s">
        <v>788</v>
      </c>
      <c r="C292" s="18">
        <v>45975</v>
      </c>
      <c r="D292" s="18">
        <v>45976</v>
      </c>
      <c r="E292" s="14">
        <v>548</v>
      </c>
      <c r="F292" s="14" t="s">
        <v>149</v>
      </c>
      <c r="G292" s="14" t="s">
        <v>150</v>
      </c>
      <c r="H292" s="15">
        <f>IFERROR(VLOOKUP(B292,Orders!$A:$I,6,0),"")</f>
        <v>307.54000000000002</v>
      </c>
      <c r="I292" s="14" t="str">
        <f>IFERROR(VLOOKUP(B292,Orders!$A:$I,8,0),"")</f>
        <v>FOB Destination</v>
      </c>
      <c r="J292" s="16">
        <f t="shared" si="11"/>
        <v>45976</v>
      </c>
      <c r="K292" s="15">
        <f t="shared" si="10"/>
        <v>168531.92</v>
      </c>
      <c r="L292" s="14" t="str">
        <f>IF(H292="","Excluded - no order",IF(J292&lt;Assumptions!$B$3,"Pre-Q4",IF(J292&lt;=Assumptions!$B$4,"Q4 2025","Deferred Q1 2026")))</f>
        <v>Q4 2025</v>
      </c>
    </row>
    <row r="293" spans="1:12" ht="15" customHeight="1" x14ac:dyDescent="0.2">
      <c r="A293" s="14" t="s">
        <v>789</v>
      </c>
      <c r="B293" s="14" t="s">
        <v>788</v>
      </c>
      <c r="C293" s="18">
        <v>45977</v>
      </c>
      <c r="D293" s="18">
        <v>45978</v>
      </c>
      <c r="E293" s="14">
        <v>285</v>
      </c>
      <c r="F293" s="14" t="s">
        <v>73</v>
      </c>
      <c r="G293" s="14" t="s">
        <v>74</v>
      </c>
      <c r="H293" s="15">
        <f>IFERROR(VLOOKUP(B293,Orders!$A:$I,6,0),"")</f>
        <v>307.54000000000002</v>
      </c>
      <c r="I293" s="14" t="str">
        <f>IFERROR(VLOOKUP(B293,Orders!$A:$I,8,0),"")</f>
        <v>FOB Destination</v>
      </c>
      <c r="J293" s="16">
        <f t="shared" si="11"/>
        <v>45978</v>
      </c>
      <c r="K293" s="15">
        <f t="shared" si="10"/>
        <v>87648.900000000009</v>
      </c>
      <c r="L293" s="14" t="str">
        <f>IF(H293="","Excluded - no order",IF(J293&lt;Assumptions!$B$3,"Pre-Q4",IF(J293&lt;=Assumptions!$B$4,"Q4 2025","Deferred Q1 2026")))</f>
        <v>Q4 2025</v>
      </c>
    </row>
    <row r="294" spans="1:12" ht="15" customHeight="1" x14ac:dyDescent="0.2">
      <c r="A294" s="14" t="s">
        <v>790</v>
      </c>
      <c r="B294" s="14" t="s">
        <v>791</v>
      </c>
      <c r="C294" s="18">
        <v>46010</v>
      </c>
      <c r="D294" s="18">
        <v>46012</v>
      </c>
      <c r="E294" s="14">
        <v>1045</v>
      </c>
      <c r="F294" s="14" t="s">
        <v>100</v>
      </c>
      <c r="G294" s="14" t="s">
        <v>101</v>
      </c>
      <c r="H294" s="15">
        <f>IFERROR(VLOOKUP(B294,Orders!$A:$I,6,0),"")</f>
        <v>351.94</v>
      </c>
      <c r="I294" s="14" t="str">
        <f>IFERROR(VLOOKUP(B294,Orders!$A:$I,8,0),"")</f>
        <v>FOB Shipping Point</v>
      </c>
      <c r="J294" s="16">
        <f t="shared" si="11"/>
        <v>46010</v>
      </c>
      <c r="K294" s="15">
        <f t="shared" si="10"/>
        <v>367777.3</v>
      </c>
      <c r="L294" s="14" t="str">
        <f>IF(H294="","Excluded - no order",IF(J294&lt;Assumptions!$B$3,"Pre-Q4",IF(J294&lt;=Assumptions!$B$4,"Q4 2025","Deferred Q1 2026")))</f>
        <v>Q4 2025</v>
      </c>
    </row>
    <row r="295" spans="1:12" ht="15" customHeight="1" x14ac:dyDescent="0.2">
      <c r="A295" s="14" t="s">
        <v>792</v>
      </c>
      <c r="B295" s="14" t="s">
        <v>791</v>
      </c>
      <c r="C295" s="18">
        <v>46012</v>
      </c>
      <c r="D295" s="18">
        <v>46014</v>
      </c>
      <c r="E295" s="14">
        <v>882</v>
      </c>
      <c r="F295" s="14" t="s">
        <v>112</v>
      </c>
      <c r="G295" s="14" t="s">
        <v>113</v>
      </c>
      <c r="H295" s="15">
        <f>IFERROR(VLOOKUP(B295,Orders!$A:$I,6,0),"")</f>
        <v>351.94</v>
      </c>
      <c r="I295" s="14" t="str">
        <f>IFERROR(VLOOKUP(B295,Orders!$A:$I,8,0),"")</f>
        <v>FOB Shipping Point</v>
      </c>
      <c r="J295" s="16">
        <f t="shared" si="11"/>
        <v>46012</v>
      </c>
      <c r="K295" s="15">
        <f t="shared" si="10"/>
        <v>310411.08</v>
      </c>
      <c r="L295" s="14" t="str">
        <f>IF(H295="","Excluded - no order",IF(J295&lt;Assumptions!$B$3,"Pre-Q4",IF(J295&lt;=Assumptions!$B$4,"Q4 2025","Deferred Q1 2026")))</f>
        <v>Q4 2025</v>
      </c>
    </row>
    <row r="296" spans="1:12" ht="15" customHeight="1" x14ac:dyDescent="0.2">
      <c r="A296" s="14" t="s">
        <v>793</v>
      </c>
      <c r="B296" s="14" t="s">
        <v>794</v>
      </c>
      <c r="C296" s="18">
        <v>45960</v>
      </c>
      <c r="D296" s="18">
        <v>45962</v>
      </c>
      <c r="E296" s="14">
        <v>492</v>
      </c>
      <c r="F296" s="14" t="s">
        <v>795</v>
      </c>
      <c r="G296" s="14" t="s">
        <v>796</v>
      </c>
      <c r="H296" s="15">
        <f>IFERROR(VLOOKUP(B296,Orders!$A:$I,6,0),"")</f>
        <v>32.56</v>
      </c>
      <c r="I296" s="14" t="str">
        <f>IFERROR(VLOOKUP(B296,Orders!$A:$I,8,0),"")</f>
        <v>FOB Shipping Point</v>
      </c>
      <c r="J296" s="16">
        <f t="shared" si="11"/>
        <v>45960</v>
      </c>
      <c r="K296" s="15">
        <f t="shared" si="10"/>
        <v>16019.52</v>
      </c>
      <c r="L296" s="14" t="str">
        <f>IF(H296="","Excluded - no order",IF(J296&lt;Assumptions!$B$3,"Pre-Q4",IF(J296&lt;=Assumptions!$B$4,"Q4 2025","Deferred Q1 2026")))</f>
        <v>Q4 2025</v>
      </c>
    </row>
    <row r="297" spans="1:12" ht="15" customHeight="1" x14ac:dyDescent="0.2">
      <c r="A297" s="14" t="s">
        <v>797</v>
      </c>
      <c r="B297" s="14" t="s">
        <v>798</v>
      </c>
      <c r="C297" s="18">
        <v>46015</v>
      </c>
      <c r="D297" s="18">
        <v>46020</v>
      </c>
      <c r="E297" s="14">
        <v>1195</v>
      </c>
      <c r="F297" s="14" t="s">
        <v>118</v>
      </c>
      <c r="G297" s="14" t="s">
        <v>119</v>
      </c>
      <c r="H297" s="15">
        <f>IFERROR(VLOOKUP(B297,Orders!$A:$I,6,0),"")</f>
        <v>267.52</v>
      </c>
      <c r="I297" s="14" t="str">
        <f>IFERROR(VLOOKUP(B297,Orders!$A:$I,8,0),"")</f>
        <v>FOB Destination</v>
      </c>
      <c r="J297" s="16">
        <f t="shared" si="11"/>
        <v>46020</v>
      </c>
      <c r="K297" s="15">
        <f t="shared" si="10"/>
        <v>319686.39999999997</v>
      </c>
      <c r="L297" s="14" t="str">
        <f>IF(H297="","Excluded - no order",IF(J297&lt;Assumptions!$B$3,"Pre-Q4",IF(J297&lt;=Assumptions!$B$4,"Q4 2025","Deferred Q1 2026")))</f>
        <v>Q4 2025</v>
      </c>
    </row>
    <row r="298" spans="1:12" ht="15" customHeight="1" x14ac:dyDescent="0.2">
      <c r="A298" s="14" t="s">
        <v>799</v>
      </c>
      <c r="B298" s="14" t="s">
        <v>798</v>
      </c>
      <c r="C298" s="18">
        <v>46017</v>
      </c>
      <c r="D298" s="18">
        <v>46022</v>
      </c>
      <c r="E298" s="14">
        <v>781</v>
      </c>
      <c r="F298" s="14" t="s">
        <v>122</v>
      </c>
      <c r="G298" s="14" t="s">
        <v>123</v>
      </c>
      <c r="H298" s="15">
        <f>IFERROR(VLOOKUP(B298,Orders!$A:$I,6,0),"")</f>
        <v>267.52</v>
      </c>
      <c r="I298" s="14" t="str">
        <f>IFERROR(VLOOKUP(B298,Orders!$A:$I,8,0),"")</f>
        <v>FOB Destination</v>
      </c>
      <c r="J298" s="16">
        <f t="shared" si="11"/>
        <v>46022</v>
      </c>
      <c r="K298" s="15">
        <f t="shared" si="10"/>
        <v>208933.12</v>
      </c>
      <c r="L298" s="14" t="str">
        <f>IF(H298="","Excluded - no order",IF(J298&lt;Assumptions!$B$3,"Pre-Q4",IF(J298&lt;=Assumptions!$B$4,"Q4 2025","Deferred Q1 2026")))</f>
        <v>Q4 2025</v>
      </c>
    </row>
    <row r="299" spans="1:12" ht="15" customHeight="1" x14ac:dyDescent="0.2">
      <c r="A299" s="14" t="s">
        <v>800</v>
      </c>
      <c r="B299" s="14" t="s">
        <v>801</v>
      </c>
      <c r="C299" s="18">
        <v>45979</v>
      </c>
      <c r="D299" s="18">
        <v>45980</v>
      </c>
      <c r="E299" s="14">
        <v>1463</v>
      </c>
      <c r="F299" s="14" t="s">
        <v>112</v>
      </c>
      <c r="G299" s="14" t="s">
        <v>113</v>
      </c>
      <c r="H299" s="15">
        <f>IFERROR(VLOOKUP(B299,Orders!$A:$I,6,0),"")</f>
        <v>222.01</v>
      </c>
      <c r="I299" s="14" t="str">
        <f>IFERROR(VLOOKUP(B299,Orders!$A:$I,8,0),"")</f>
        <v>FOB Shipping Point</v>
      </c>
      <c r="J299" s="16">
        <f t="shared" si="11"/>
        <v>45979</v>
      </c>
      <c r="K299" s="15">
        <f t="shared" si="10"/>
        <v>324800.63</v>
      </c>
      <c r="L299" s="14" t="str">
        <f>IF(H299="","Excluded - no order",IF(J299&lt;Assumptions!$B$3,"Pre-Q4",IF(J299&lt;=Assumptions!$B$4,"Q4 2025","Deferred Q1 2026")))</f>
        <v>Q4 2025</v>
      </c>
    </row>
    <row r="300" spans="1:12" ht="15" customHeight="1" x14ac:dyDescent="0.2">
      <c r="A300" s="14" t="s">
        <v>802</v>
      </c>
      <c r="B300" s="14" t="s">
        <v>803</v>
      </c>
      <c r="C300" s="18">
        <v>45947</v>
      </c>
      <c r="D300" s="18">
        <v>45953</v>
      </c>
      <c r="E300" s="14">
        <v>1221</v>
      </c>
      <c r="F300" s="14" t="s">
        <v>118</v>
      </c>
      <c r="G300" s="14" t="s">
        <v>119</v>
      </c>
      <c r="H300" s="15">
        <f>IFERROR(VLOOKUP(B300,Orders!$A:$I,6,0),"")</f>
        <v>234.99</v>
      </c>
      <c r="I300" s="14" t="str">
        <f>IFERROR(VLOOKUP(B300,Orders!$A:$I,8,0),"")</f>
        <v>FOB Destination</v>
      </c>
      <c r="J300" s="16">
        <f t="shared" si="11"/>
        <v>45953</v>
      </c>
      <c r="K300" s="15">
        <f t="shared" si="10"/>
        <v>286922.79000000004</v>
      </c>
      <c r="L300" s="14" t="str">
        <f>IF(H300="","Excluded - no order",IF(J300&lt;Assumptions!$B$3,"Pre-Q4",IF(J300&lt;=Assumptions!$B$4,"Q4 2025","Deferred Q1 2026")))</f>
        <v>Q4 2025</v>
      </c>
    </row>
    <row r="301" spans="1:12" ht="15" customHeight="1" x14ac:dyDescent="0.2">
      <c r="A301" s="14" t="s">
        <v>804</v>
      </c>
      <c r="B301" s="14" t="s">
        <v>803</v>
      </c>
      <c r="C301" s="18">
        <v>45949</v>
      </c>
      <c r="D301" s="18">
        <v>45955</v>
      </c>
      <c r="E301" s="14">
        <v>459</v>
      </c>
      <c r="F301" s="14" t="s">
        <v>122</v>
      </c>
      <c r="G301" s="14" t="s">
        <v>123</v>
      </c>
      <c r="H301" s="15">
        <f>IFERROR(VLOOKUP(B301,Orders!$A:$I,6,0),"")</f>
        <v>234.99</v>
      </c>
      <c r="I301" s="14" t="str">
        <f>IFERROR(VLOOKUP(B301,Orders!$A:$I,8,0),"")</f>
        <v>FOB Destination</v>
      </c>
      <c r="J301" s="16">
        <f t="shared" si="11"/>
        <v>45955</v>
      </c>
      <c r="K301" s="15">
        <f t="shared" si="10"/>
        <v>107860.41</v>
      </c>
      <c r="L301" s="14" t="str">
        <f>IF(H301="","Excluded - no order",IF(J301&lt;Assumptions!$B$3,"Pre-Q4",IF(J301&lt;=Assumptions!$B$4,"Q4 2025","Deferred Q1 2026")))</f>
        <v>Q4 2025</v>
      </c>
    </row>
    <row r="302" spans="1:12" ht="15" customHeight="1" x14ac:dyDescent="0.2">
      <c r="A302" s="14" t="s">
        <v>805</v>
      </c>
      <c r="B302" s="14" t="s">
        <v>806</v>
      </c>
      <c r="C302" s="18">
        <v>46007</v>
      </c>
      <c r="D302" s="18">
        <v>46009</v>
      </c>
      <c r="E302" s="14">
        <v>1448</v>
      </c>
      <c r="F302" s="14" t="s">
        <v>77</v>
      </c>
      <c r="G302" s="14" t="s">
        <v>78</v>
      </c>
      <c r="H302" s="15">
        <f>IFERROR(VLOOKUP(B302,Orders!$A:$I,6,0),"")</f>
        <v>235.41</v>
      </c>
      <c r="I302" s="14" t="str">
        <f>IFERROR(VLOOKUP(B302,Orders!$A:$I,8,0),"")</f>
        <v>FOB Destination</v>
      </c>
      <c r="J302" s="16">
        <f t="shared" si="11"/>
        <v>46009</v>
      </c>
      <c r="K302" s="15">
        <f t="shared" si="10"/>
        <v>340873.68</v>
      </c>
      <c r="L302" s="14" t="str">
        <f>IF(H302="","Excluded - no order",IF(J302&lt;Assumptions!$B$3,"Pre-Q4",IF(J302&lt;=Assumptions!$B$4,"Q4 2025","Deferred Q1 2026")))</f>
        <v>Q4 2025</v>
      </c>
    </row>
    <row r="303" spans="1:12" ht="15" customHeight="1" x14ac:dyDescent="0.2">
      <c r="A303" s="14" t="s">
        <v>807</v>
      </c>
      <c r="B303" s="14" t="s">
        <v>808</v>
      </c>
      <c r="C303" s="18">
        <v>45983</v>
      </c>
      <c r="D303" s="18">
        <v>45984</v>
      </c>
      <c r="E303" s="14">
        <v>904</v>
      </c>
      <c r="F303" s="14" t="s">
        <v>73</v>
      </c>
      <c r="G303" s="14" t="s">
        <v>74</v>
      </c>
      <c r="H303" s="15">
        <f>IFERROR(VLOOKUP(B303,Orders!$A:$I,6,0),"")</f>
        <v>40.549999999999997</v>
      </c>
      <c r="I303" s="14" t="str">
        <f>IFERROR(VLOOKUP(B303,Orders!$A:$I,8,0),"")</f>
        <v>FOB Shipping Point</v>
      </c>
      <c r="J303" s="16">
        <f t="shared" si="11"/>
        <v>45983</v>
      </c>
      <c r="K303" s="15">
        <f t="shared" si="10"/>
        <v>36657.199999999997</v>
      </c>
      <c r="L303" s="14" t="str">
        <f>IF(H303="","Excluded - no order",IF(J303&lt;Assumptions!$B$3,"Pre-Q4",IF(J303&lt;=Assumptions!$B$4,"Q4 2025","Deferred Q1 2026")))</f>
        <v>Q4 2025</v>
      </c>
    </row>
    <row r="304" spans="1:12" ht="15" customHeight="1" x14ac:dyDescent="0.2">
      <c r="A304" s="14" t="s">
        <v>809</v>
      </c>
      <c r="B304" s="14" t="s">
        <v>808</v>
      </c>
      <c r="C304" s="18">
        <v>45985</v>
      </c>
      <c r="D304" s="18">
        <v>45986</v>
      </c>
      <c r="E304" s="14">
        <v>604</v>
      </c>
      <c r="F304" s="14" t="s">
        <v>100</v>
      </c>
      <c r="G304" s="14" t="s">
        <v>101</v>
      </c>
      <c r="H304" s="15">
        <f>IFERROR(VLOOKUP(B304,Orders!$A:$I,6,0),"")</f>
        <v>40.549999999999997</v>
      </c>
      <c r="I304" s="14" t="str">
        <f>IFERROR(VLOOKUP(B304,Orders!$A:$I,8,0),"")</f>
        <v>FOB Shipping Point</v>
      </c>
      <c r="J304" s="16">
        <f t="shared" si="11"/>
        <v>45985</v>
      </c>
      <c r="K304" s="15">
        <f t="shared" si="10"/>
        <v>24492.199999999997</v>
      </c>
      <c r="L304" s="14" t="str">
        <f>IF(H304="","Excluded - no order",IF(J304&lt;Assumptions!$B$3,"Pre-Q4",IF(J304&lt;=Assumptions!$B$4,"Q4 2025","Deferred Q1 2026")))</f>
        <v>Q4 2025</v>
      </c>
    </row>
    <row r="305" spans="1:12" ht="15" customHeight="1" x14ac:dyDescent="0.2">
      <c r="A305" s="14" t="s">
        <v>810</v>
      </c>
      <c r="B305" s="14" t="s">
        <v>811</v>
      </c>
      <c r="C305" s="18">
        <v>46015</v>
      </c>
      <c r="D305" s="18">
        <v>46016</v>
      </c>
      <c r="E305" s="14">
        <v>829</v>
      </c>
      <c r="F305" s="14" t="s">
        <v>112</v>
      </c>
      <c r="G305" s="14" t="s">
        <v>113</v>
      </c>
      <c r="H305" s="15">
        <f>IFERROR(VLOOKUP(B305,Orders!$A:$I,6,0),"")</f>
        <v>225.59</v>
      </c>
      <c r="I305" s="14" t="str">
        <f>IFERROR(VLOOKUP(B305,Orders!$A:$I,8,0),"")</f>
        <v>FOB Shipping Point</v>
      </c>
      <c r="J305" s="16">
        <f t="shared" si="11"/>
        <v>46015</v>
      </c>
      <c r="K305" s="15">
        <f t="shared" si="10"/>
        <v>187014.11000000002</v>
      </c>
      <c r="L305" s="14" t="str">
        <f>IF(H305="","Excluded - no order",IF(J305&lt;Assumptions!$B$3,"Pre-Q4",IF(J305&lt;=Assumptions!$B$4,"Q4 2025","Deferred Q1 2026")))</f>
        <v>Q4 2025</v>
      </c>
    </row>
    <row r="306" spans="1:12" ht="15" customHeight="1" x14ac:dyDescent="0.2">
      <c r="A306" s="14" t="s">
        <v>812</v>
      </c>
      <c r="B306" s="14" t="s">
        <v>813</v>
      </c>
      <c r="C306" s="18">
        <v>45993</v>
      </c>
      <c r="D306" s="18">
        <v>45999</v>
      </c>
      <c r="E306" s="14">
        <v>1443</v>
      </c>
      <c r="F306" s="14" t="s">
        <v>149</v>
      </c>
      <c r="G306" s="14" t="s">
        <v>150</v>
      </c>
      <c r="H306" s="15">
        <f>IFERROR(VLOOKUP(B306,Orders!$A:$I,6,0),"")</f>
        <v>490.58</v>
      </c>
      <c r="I306" s="14" t="str">
        <f>IFERROR(VLOOKUP(B306,Orders!$A:$I,8,0),"")</f>
        <v>FOB Destination</v>
      </c>
      <c r="J306" s="16">
        <f t="shared" si="11"/>
        <v>45999</v>
      </c>
      <c r="K306" s="15">
        <f t="shared" si="10"/>
        <v>707906.94</v>
      </c>
      <c r="L306" s="14" t="str">
        <f>IF(H306="","Excluded - no order",IF(J306&lt;Assumptions!$B$3,"Pre-Q4",IF(J306&lt;=Assumptions!$B$4,"Q4 2025","Deferred Q1 2026")))</f>
        <v>Q4 2025</v>
      </c>
    </row>
    <row r="307" spans="1:12" ht="15" customHeight="1" x14ac:dyDescent="0.2">
      <c r="A307" s="14" t="s">
        <v>814</v>
      </c>
      <c r="B307" s="14" t="s">
        <v>815</v>
      </c>
      <c r="C307" s="18">
        <v>45958</v>
      </c>
      <c r="D307" s="18">
        <v>45963</v>
      </c>
      <c r="E307" s="14">
        <v>201</v>
      </c>
      <c r="F307" s="14" t="s">
        <v>210</v>
      </c>
      <c r="G307" s="14" t="s">
        <v>211</v>
      </c>
      <c r="H307" s="15">
        <f>IFERROR(VLOOKUP(B307,Orders!$A:$I,6,0),"")</f>
        <v>415.38</v>
      </c>
      <c r="I307" s="14" t="str">
        <f>IFERROR(VLOOKUP(B307,Orders!$A:$I,8,0),"")</f>
        <v>FOB Destination</v>
      </c>
      <c r="J307" s="16">
        <f t="shared" si="11"/>
        <v>45963</v>
      </c>
      <c r="K307" s="15">
        <f t="shared" si="10"/>
        <v>83491.38</v>
      </c>
      <c r="L307" s="14" t="str">
        <f>IF(H307="","Excluded - no order",IF(J307&lt;Assumptions!$B$3,"Pre-Q4",IF(J307&lt;=Assumptions!$B$4,"Q4 2025","Deferred Q1 2026")))</f>
        <v>Q4 2025</v>
      </c>
    </row>
    <row r="308" spans="1:12" ht="15" customHeight="1" x14ac:dyDescent="0.2">
      <c r="A308" s="14" t="s">
        <v>816</v>
      </c>
      <c r="B308" s="14" t="s">
        <v>817</v>
      </c>
      <c r="C308" s="18">
        <v>45954</v>
      </c>
      <c r="D308" s="18">
        <v>45957</v>
      </c>
      <c r="E308" s="14">
        <v>1176</v>
      </c>
      <c r="F308" s="14" t="s">
        <v>118</v>
      </c>
      <c r="G308" s="14" t="s">
        <v>119</v>
      </c>
      <c r="H308" s="15">
        <f>IFERROR(VLOOKUP(B308,Orders!$A:$I,6,0),"")</f>
        <v>213.27</v>
      </c>
      <c r="I308" s="14" t="str">
        <f>IFERROR(VLOOKUP(B308,Orders!$A:$I,8,0),"")</f>
        <v>FOB Shipping Point</v>
      </c>
      <c r="J308" s="16">
        <f t="shared" si="11"/>
        <v>45954</v>
      </c>
      <c r="K308" s="15">
        <f t="shared" si="10"/>
        <v>250805.52000000002</v>
      </c>
      <c r="L308" s="14" t="str">
        <f>IF(H308="","Excluded - no order",IF(J308&lt;Assumptions!$B$3,"Pre-Q4",IF(J308&lt;=Assumptions!$B$4,"Q4 2025","Deferred Q1 2026")))</f>
        <v>Q4 2025</v>
      </c>
    </row>
    <row r="309" spans="1:12" ht="15" customHeight="1" x14ac:dyDescent="0.2">
      <c r="A309" s="14" t="s">
        <v>818</v>
      </c>
      <c r="B309" s="14" t="s">
        <v>819</v>
      </c>
      <c r="C309" s="18">
        <v>46019</v>
      </c>
      <c r="D309" s="18">
        <v>46025</v>
      </c>
      <c r="E309" s="14">
        <v>394</v>
      </c>
      <c r="F309" s="14" t="s">
        <v>820</v>
      </c>
      <c r="G309" s="14" t="s">
        <v>821</v>
      </c>
      <c r="H309" s="15">
        <f>IFERROR(VLOOKUP(B309,Orders!$A:$I,6,0),"")</f>
        <v>375.5</v>
      </c>
      <c r="I309" s="14" t="str">
        <f>IFERROR(VLOOKUP(B309,Orders!$A:$I,8,0),"")</f>
        <v>FOB Destination</v>
      </c>
      <c r="J309" s="16">
        <f t="shared" si="11"/>
        <v>46025</v>
      </c>
      <c r="K309" s="15">
        <f t="shared" si="10"/>
        <v>147947</v>
      </c>
      <c r="L309" s="14" t="str">
        <f>IF(H309="","Excluded - no order",IF(J309&lt;Assumptions!$B$3,"Pre-Q4",IF(J309&lt;=Assumptions!$B$4,"Q4 2025","Deferred Q1 2026")))</f>
        <v>Deferred Q1 2026</v>
      </c>
    </row>
    <row r="310" spans="1:12" ht="15" customHeight="1" x14ac:dyDescent="0.2">
      <c r="A310" s="14" t="s">
        <v>822</v>
      </c>
      <c r="B310" s="14" t="s">
        <v>819</v>
      </c>
      <c r="C310" s="18">
        <v>46032</v>
      </c>
      <c r="D310" s="18">
        <v>46037</v>
      </c>
      <c r="E310" s="14">
        <v>146</v>
      </c>
      <c r="F310" s="14" t="s">
        <v>823</v>
      </c>
      <c r="G310" s="14" t="s">
        <v>824</v>
      </c>
      <c r="H310" s="15">
        <f>IFERROR(VLOOKUP(B310,Orders!$A:$I,6,0),"")</f>
        <v>375.5</v>
      </c>
      <c r="I310" s="14" t="str">
        <f>IFERROR(VLOOKUP(B310,Orders!$A:$I,8,0),"")</f>
        <v>FOB Destination</v>
      </c>
      <c r="J310" s="16">
        <f t="shared" si="11"/>
        <v>46037</v>
      </c>
      <c r="K310" s="15">
        <f t="shared" si="10"/>
        <v>54823</v>
      </c>
      <c r="L310" s="14" t="str">
        <f>IF(H310="","Excluded - no order",IF(J310&lt;Assumptions!$B$3,"Pre-Q4",IF(J310&lt;=Assumptions!$B$4,"Q4 2025","Deferred Q1 2026")))</f>
        <v>Deferred Q1 2026</v>
      </c>
    </row>
    <row r="311" spans="1:12" ht="15" customHeight="1" x14ac:dyDescent="0.2">
      <c r="A311" s="14" t="s">
        <v>825</v>
      </c>
      <c r="B311" s="14" t="s">
        <v>826</v>
      </c>
      <c r="C311" s="18">
        <v>45968</v>
      </c>
      <c r="D311" s="18">
        <v>45970</v>
      </c>
      <c r="E311" s="14">
        <v>20</v>
      </c>
      <c r="F311" s="14" t="s">
        <v>176</v>
      </c>
      <c r="G311" s="14" t="s">
        <v>177</v>
      </c>
      <c r="H311" s="15">
        <f>IFERROR(VLOOKUP(B311,Orders!$A:$I,6,0),"")</f>
        <v>420.91</v>
      </c>
      <c r="I311" s="14" t="str">
        <f>IFERROR(VLOOKUP(B311,Orders!$A:$I,8,0),"")</f>
        <v>FOB Shipping Point</v>
      </c>
      <c r="J311" s="16">
        <f t="shared" si="11"/>
        <v>45968</v>
      </c>
      <c r="K311" s="15">
        <f t="shared" si="10"/>
        <v>8418.2000000000007</v>
      </c>
      <c r="L311" s="14" t="str">
        <f>IF(H311="","Excluded - no order",IF(J311&lt;Assumptions!$B$3,"Pre-Q4",IF(J311&lt;=Assumptions!$B$4,"Q4 2025","Deferred Q1 2026")))</f>
        <v>Q4 2025</v>
      </c>
    </row>
    <row r="312" spans="1:12" ht="15" customHeight="1" x14ac:dyDescent="0.2">
      <c r="A312" s="14" t="s">
        <v>827</v>
      </c>
      <c r="B312" s="14" t="s">
        <v>828</v>
      </c>
      <c r="C312" s="18">
        <v>46021</v>
      </c>
      <c r="D312" s="18">
        <v>46022</v>
      </c>
      <c r="E312" s="14">
        <v>197</v>
      </c>
      <c r="F312" s="14" t="s">
        <v>122</v>
      </c>
      <c r="G312" s="14" t="s">
        <v>123</v>
      </c>
      <c r="H312" s="15">
        <f>IFERROR(VLOOKUP(B312,Orders!$A:$I,6,0),"")</f>
        <v>159.74</v>
      </c>
      <c r="I312" s="14" t="str">
        <f>IFERROR(VLOOKUP(B312,Orders!$A:$I,8,0),"")</f>
        <v>FOB Destination</v>
      </c>
      <c r="J312" s="16">
        <f t="shared" si="11"/>
        <v>46022</v>
      </c>
      <c r="K312" s="15">
        <f t="shared" si="10"/>
        <v>31468.780000000002</v>
      </c>
      <c r="L312" s="14" t="str">
        <f>IF(H312="","Excluded - no order",IF(J312&lt;Assumptions!$B$3,"Pre-Q4",IF(J312&lt;=Assumptions!$B$4,"Q4 2025","Deferred Q1 2026")))</f>
        <v>Q4 2025</v>
      </c>
    </row>
    <row r="313" spans="1:12" ht="15" customHeight="1" x14ac:dyDescent="0.2">
      <c r="A313" s="14" t="s">
        <v>829</v>
      </c>
      <c r="B313" s="14" t="s">
        <v>828</v>
      </c>
      <c r="C313" s="18">
        <v>46023</v>
      </c>
      <c r="D313" s="18">
        <v>46022</v>
      </c>
      <c r="E313" s="14">
        <v>131</v>
      </c>
      <c r="F313" s="14" t="s">
        <v>149</v>
      </c>
      <c r="G313" s="14" t="s">
        <v>150</v>
      </c>
      <c r="H313" s="15">
        <f>IFERROR(VLOOKUP(B313,Orders!$A:$I,6,0),"")</f>
        <v>159.74</v>
      </c>
      <c r="I313" s="14" t="str">
        <f>IFERROR(VLOOKUP(B313,Orders!$A:$I,8,0),"")</f>
        <v>FOB Destination</v>
      </c>
      <c r="J313" s="16">
        <f t="shared" si="11"/>
        <v>46022</v>
      </c>
      <c r="K313" s="15">
        <f t="shared" si="10"/>
        <v>20925.940000000002</v>
      </c>
      <c r="L313" s="14" t="str">
        <f>IF(H313="","Excluded - no order",IF(J313&lt;Assumptions!$B$3,"Pre-Q4",IF(J313&lt;=Assumptions!$B$4,"Q4 2025","Deferred Q1 2026")))</f>
        <v>Q4 2025</v>
      </c>
    </row>
    <row r="314" spans="1:12" ht="15" customHeight="1" x14ac:dyDescent="0.2">
      <c r="A314" s="14" t="s">
        <v>830</v>
      </c>
      <c r="B314" s="14" t="s">
        <v>831</v>
      </c>
      <c r="C314" s="18">
        <v>46010</v>
      </c>
      <c r="D314" s="18">
        <v>46016</v>
      </c>
      <c r="E314" s="14">
        <v>286</v>
      </c>
      <c r="F314" s="14" t="s">
        <v>73</v>
      </c>
      <c r="G314" s="14" t="s">
        <v>74</v>
      </c>
      <c r="H314" s="15">
        <f>IFERROR(VLOOKUP(B314,Orders!$A:$I,6,0),"")</f>
        <v>170.88</v>
      </c>
      <c r="I314" s="14" t="str">
        <f>IFERROR(VLOOKUP(B314,Orders!$A:$I,8,0),"")</f>
        <v>FOB Shipping Point</v>
      </c>
      <c r="J314" s="16">
        <f t="shared" si="11"/>
        <v>46010</v>
      </c>
      <c r="K314" s="15">
        <f t="shared" si="10"/>
        <v>48871.68</v>
      </c>
      <c r="L314" s="14" t="str">
        <f>IF(H314="","Excluded - no order",IF(J314&lt;Assumptions!$B$3,"Pre-Q4",IF(J314&lt;=Assumptions!$B$4,"Q4 2025","Deferred Q1 2026")))</f>
        <v>Q4 2025</v>
      </c>
    </row>
    <row r="315" spans="1:12" ht="15" customHeight="1" x14ac:dyDescent="0.2">
      <c r="A315" s="14" t="s">
        <v>832</v>
      </c>
      <c r="B315" s="14" t="s">
        <v>831</v>
      </c>
      <c r="C315" s="18">
        <v>46012</v>
      </c>
      <c r="D315" s="18">
        <v>46018</v>
      </c>
      <c r="E315" s="14">
        <v>117</v>
      </c>
      <c r="F315" s="14" t="s">
        <v>100</v>
      </c>
      <c r="G315" s="14" t="s">
        <v>101</v>
      </c>
      <c r="H315" s="15">
        <f>IFERROR(VLOOKUP(B315,Orders!$A:$I,6,0),"")</f>
        <v>170.88</v>
      </c>
      <c r="I315" s="14" t="str">
        <f>IFERROR(VLOOKUP(B315,Orders!$A:$I,8,0),"")</f>
        <v>FOB Shipping Point</v>
      </c>
      <c r="J315" s="16">
        <f t="shared" si="11"/>
        <v>46012</v>
      </c>
      <c r="K315" s="15">
        <f t="shared" si="10"/>
        <v>19992.96</v>
      </c>
      <c r="L315" s="14" t="str">
        <f>IF(H315="","Excluded - no order",IF(J315&lt;Assumptions!$B$3,"Pre-Q4",IF(J315&lt;=Assumptions!$B$4,"Q4 2025","Deferred Q1 2026")))</f>
        <v>Q4 2025</v>
      </c>
    </row>
    <row r="316" spans="1:12" ht="15" customHeight="1" x14ac:dyDescent="0.2">
      <c r="A316" s="14" t="s">
        <v>833</v>
      </c>
      <c r="B316" s="14" t="s">
        <v>834</v>
      </c>
      <c r="C316" s="18">
        <v>46011</v>
      </c>
      <c r="D316" s="18">
        <v>46015</v>
      </c>
      <c r="E316" s="14">
        <v>1994</v>
      </c>
      <c r="F316" s="14" t="s">
        <v>112</v>
      </c>
      <c r="G316" s="14" t="s">
        <v>113</v>
      </c>
      <c r="H316" s="15">
        <f>IFERROR(VLOOKUP(B316,Orders!$A:$I,6,0),"")</f>
        <v>498.72</v>
      </c>
      <c r="I316" s="14" t="str">
        <f>IFERROR(VLOOKUP(B316,Orders!$A:$I,8,0),"")</f>
        <v>FOB Destination</v>
      </c>
      <c r="J316" s="16">
        <f t="shared" si="11"/>
        <v>46015</v>
      </c>
      <c r="K316" s="15">
        <f t="shared" si="10"/>
        <v>994447.68</v>
      </c>
      <c r="L316" s="14" t="str">
        <f>IF(H316="","Excluded - no order",IF(J316&lt;Assumptions!$B$3,"Pre-Q4",IF(J316&lt;=Assumptions!$B$4,"Q4 2025","Deferred Q1 2026")))</f>
        <v>Q4 2025</v>
      </c>
    </row>
    <row r="317" spans="1:12" ht="15" customHeight="1" x14ac:dyDescent="0.2">
      <c r="A317" s="14" t="s">
        <v>835</v>
      </c>
      <c r="B317" s="14" t="s">
        <v>836</v>
      </c>
      <c r="C317" s="18">
        <v>45999</v>
      </c>
      <c r="D317" s="18">
        <v>46002</v>
      </c>
      <c r="E317" s="14">
        <v>1278</v>
      </c>
      <c r="F317" s="14" t="s">
        <v>149</v>
      </c>
      <c r="G317" s="14" t="s">
        <v>150</v>
      </c>
      <c r="H317" s="15">
        <f>IFERROR(VLOOKUP(B317,Orders!$A:$I,6,0),"")</f>
        <v>170.72</v>
      </c>
      <c r="I317" s="14" t="str">
        <f>IFERROR(VLOOKUP(B317,Orders!$A:$I,8,0),"")</f>
        <v>FOB Destination</v>
      </c>
      <c r="J317" s="16">
        <f t="shared" si="11"/>
        <v>46002</v>
      </c>
      <c r="K317" s="15">
        <f t="shared" si="10"/>
        <v>218180.16</v>
      </c>
      <c r="L317" s="14" t="str">
        <f>IF(H317="","Excluded - no order",IF(J317&lt;Assumptions!$B$3,"Pre-Q4",IF(J317&lt;=Assumptions!$B$4,"Q4 2025","Deferred Q1 2026")))</f>
        <v>Q4 2025</v>
      </c>
    </row>
    <row r="318" spans="1:12" ht="15" customHeight="1" x14ac:dyDescent="0.2">
      <c r="A318" s="14" t="s">
        <v>837</v>
      </c>
      <c r="B318" s="14" t="s">
        <v>838</v>
      </c>
      <c r="C318" s="18">
        <v>46001</v>
      </c>
      <c r="D318" s="18">
        <v>46005</v>
      </c>
      <c r="E318" s="14">
        <v>851</v>
      </c>
      <c r="F318" s="14" t="s">
        <v>77</v>
      </c>
      <c r="G318" s="14" t="s">
        <v>78</v>
      </c>
      <c r="H318" s="15">
        <f>IFERROR(VLOOKUP(B318,Orders!$A:$I,6,0),"")</f>
        <v>479.59</v>
      </c>
      <c r="I318" s="14" t="str">
        <f>IFERROR(VLOOKUP(B318,Orders!$A:$I,8,0),"")</f>
        <v>FOB Destination</v>
      </c>
      <c r="J318" s="16">
        <f t="shared" si="11"/>
        <v>46005</v>
      </c>
      <c r="K318" s="15">
        <f t="shared" si="10"/>
        <v>408131.08999999997</v>
      </c>
      <c r="L318" s="14" t="str">
        <f>IF(H318="","Excluded - no order",IF(J318&lt;Assumptions!$B$3,"Pre-Q4",IF(J318&lt;=Assumptions!$B$4,"Q4 2025","Deferred Q1 2026")))</f>
        <v>Q4 2025</v>
      </c>
    </row>
    <row r="319" spans="1:12" ht="15" customHeight="1" x14ac:dyDescent="0.2">
      <c r="A319" s="14" t="s">
        <v>839</v>
      </c>
      <c r="B319" s="14" t="s">
        <v>840</v>
      </c>
      <c r="C319" s="18">
        <v>46022</v>
      </c>
      <c r="D319" s="18">
        <v>46027</v>
      </c>
      <c r="E319" s="14">
        <v>968</v>
      </c>
      <c r="F319" s="14" t="s">
        <v>77</v>
      </c>
      <c r="G319" s="14" t="s">
        <v>78</v>
      </c>
      <c r="H319" s="15">
        <f>IFERROR(VLOOKUP(B319,Orders!$A:$I,6,0),"")</f>
        <v>130.22999999999999</v>
      </c>
      <c r="I319" s="14" t="str">
        <f>IFERROR(VLOOKUP(B319,Orders!$A:$I,8,0),"")</f>
        <v>FOB Destination</v>
      </c>
      <c r="J319" s="16">
        <f t="shared" si="11"/>
        <v>46027</v>
      </c>
      <c r="K319" s="15">
        <f t="shared" si="10"/>
        <v>126062.63999999998</v>
      </c>
      <c r="L319" s="14" t="str">
        <f>IF(H319="","Excluded - no order",IF(J319&lt;Assumptions!$B$3,"Pre-Q4",IF(J319&lt;=Assumptions!$B$4,"Q4 2025","Deferred Q1 2026")))</f>
        <v>Deferred Q1 2026</v>
      </c>
    </row>
    <row r="320" spans="1:12" ht="15" customHeight="1" x14ac:dyDescent="0.2">
      <c r="A320" s="14" t="s">
        <v>841</v>
      </c>
      <c r="B320" s="14" t="s">
        <v>840</v>
      </c>
      <c r="C320" s="18">
        <v>46032</v>
      </c>
      <c r="D320" s="18">
        <v>46037</v>
      </c>
      <c r="E320" s="14">
        <v>608</v>
      </c>
      <c r="F320" s="14" t="s">
        <v>77</v>
      </c>
      <c r="G320" s="14" t="s">
        <v>78</v>
      </c>
      <c r="H320" s="15">
        <f>IFERROR(VLOOKUP(B320,Orders!$A:$I,6,0),"")</f>
        <v>130.22999999999999</v>
      </c>
      <c r="I320" s="14" t="str">
        <f>IFERROR(VLOOKUP(B320,Orders!$A:$I,8,0),"")</f>
        <v>FOB Destination</v>
      </c>
      <c r="J320" s="16">
        <f t="shared" si="11"/>
        <v>46037</v>
      </c>
      <c r="K320" s="15">
        <f t="shared" si="10"/>
        <v>79179.839999999997</v>
      </c>
      <c r="L320" s="14" t="str">
        <f>IF(H320="","Excluded - no order",IF(J320&lt;Assumptions!$B$3,"Pre-Q4",IF(J320&lt;=Assumptions!$B$4,"Q4 2025","Deferred Q1 2026")))</f>
        <v>Deferred Q1 2026</v>
      </c>
    </row>
    <row r="321" spans="1:12" ht="15" customHeight="1" x14ac:dyDescent="0.2">
      <c r="A321" s="14" t="s">
        <v>842</v>
      </c>
      <c r="B321" s="14" t="s">
        <v>843</v>
      </c>
      <c r="C321" s="18">
        <v>45997</v>
      </c>
      <c r="D321" s="18">
        <v>45998</v>
      </c>
      <c r="E321" s="14">
        <v>388</v>
      </c>
      <c r="F321" s="14" t="s">
        <v>844</v>
      </c>
      <c r="G321" s="14" t="s">
        <v>845</v>
      </c>
      <c r="H321" s="15">
        <f>IFERROR(VLOOKUP(B321,Orders!$A:$I,6,0),"")</f>
        <v>127.55</v>
      </c>
      <c r="I321" s="14" t="str">
        <f>IFERROR(VLOOKUP(B321,Orders!$A:$I,8,0),"")</f>
        <v>FOB Shipping Point</v>
      </c>
      <c r="J321" s="16">
        <f t="shared" si="11"/>
        <v>45997</v>
      </c>
      <c r="K321" s="15">
        <f t="shared" si="10"/>
        <v>49489.4</v>
      </c>
      <c r="L321" s="14" t="str">
        <f>IF(H321="","Excluded - no order",IF(J321&lt;Assumptions!$B$3,"Pre-Q4",IF(J321&lt;=Assumptions!$B$4,"Q4 2025","Deferred Q1 2026")))</f>
        <v>Q4 2025</v>
      </c>
    </row>
    <row r="322" spans="1:12" ht="15" customHeight="1" x14ac:dyDescent="0.2">
      <c r="A322" s="14" t="s">
        <v>846</v>
      </c>
      <c r="B322" s="14" t="s">
        <v>847</v>
      </c>
      <c r="C322" s="18">
        <v>45995</v>
      </c>
      <c r="D322" s="18">
        <v>45998</v>
      </c>
      <c r="E322" s="14">
        <v>208</v>
      </c>
      <c r="F322" s="14" t="s">
        <v>149</v>
      </c>
      <c r="G322" s="14" t="s">
        <v>150</v>
      </c>
      <c r="H322" s="15">
        <f>IFERROR(VLOOKUP(B322,Orders!$A:$I,6,0),"")</f>
        <v>434.54</v>
      </c>
      <c r="I322" s="14" t="str">
        <f>IFERROR(VLOOKUP(B322,Orders!$A:$I,8,0),"")</f>
        <v>FOB Shipping Point</v>
      </c>
      <c r="J322" s="16">
        <f t="shared" si="11"/>
        <v>45995</v>
      </c>
      <c r="K322" s="15">
        <f t="shared" ref="K322:K385" si="12">IF(H322="",0,E322*H322)</f>
        <v>90384.320000000007</v>
      </c>
      <c r="L322" s="14" t="str">
        <f>IF(H322="","Excluded - no order",IF(J322&lt;Assumptions!$B$3,"Pre-Q4",IF(J322&lt;=Assumptions!$B$4,"Q4 2025","Deferred Q1 2026")))</f>
        <v>Q4 2025</v>
      </c>
    </row>
    <row r="323" spans="1:12" ht="15" customHeight="1" x14ac:dyDescent="0.2">
      <c r="A323" s="14" t="s">
        <v>848</v>
      </c>
      <c r="B323" s="14" t="s">
        <v>847</v>
      </c>
      <c r="C323" s="18">
        <v>45997</v>
      </c>
      <c r="D323" s="18">
        <v>46000</v>
      </c>
      <c r="E323" s="14">
        <v>268</v>
      </c>
      <c r="F323" s="14" t="s">
        <v>73</v>
      </c>
      <c r="G323" s="14" t="s">
        <v>74</v>
      </c>
      <c r="H323" s="15">
        <f>IFERROR(VLOOKUP(B323,Orders!$A:$I,6,0),"")</f>
        <v>434.54</v>
      </c>
      <c r="I323" s="14" t="str">
        <f>IFERROR(VLOOKUP(B323,Orders!$A:$I,8,0),"")</f>
        <v>FOB Shipping Point</v>
      </c>
      <c r="J323" s="16">
        <f t="shared" si="11"/>
        <v>45997</v>
      </c>
      <c r="K323" s="15">
        <f t="shared" si="12"/>
        <v>116456.72</v>
      </c>
      <c r="L323" s="14" t="str">
        <f>IF(H323="","Excluded - no order",IF(J323&lt;Assumptions!$B$3,"Pre-Q4",IF(J323&lt;=Assumptions!$B$4,"Q4 2025","Deferred Q1 2026")))</f>
        <v>Q4 2025</v>
      </c>
    </row>
    <row r="324" spans="1:12" ht="15" customHeight="1" x14ac:dyDescent="0.2">
      <c r="A324" s="14" t="s">
        <v>849</v>
      </c>
      <c r="B324" s="14" t="s">
        <v>850</v>
      </c>
      <c r="C324" s="18">
        <v>46004</v>
      </c>
      <c r="D324" s="18">
        <v>46007</v>
      </c>
      <c r="E324" s="14">
        <v>951</v>
      </c>
      <c r="F324" s="14" t="s">
        <v>100</v>
      </c>
      <c r="G324" s="14" t="s">
        <v>101</v>
      </c>
      <c r="H324" s="15">
        <f>IFERROR(VLOOKUP(B324,Orders!$A:$I,6,0),"")</f>
        <v>430.04</v>
      </c>
      <c r="I324" s="14" t="str">
        <f>IFERROR(VLOOKUP(B324,Orders!$A:$I,8,0),"")</f>
        <v>FOB Destination</v>
      </c>
      <c r="J324" s="16">
        <f t="shared" si="11"/>
        <v>46007</v>
      </c>
      <c r="K324" s="15">
        <f t="shared" si="12"/>
        <v>408968.04000000004</v>
      </c>
      <c r="L324" s="14" t="str">
        <f>IF(H324="","Excluded - no order",IF(J324&lt;Assumptions!$B$3,"Pre-Q4",IF(J324&lt;=Assumptions!$B$4,"Q4 2025","Deferred Q1 2026")))</f>
        <v>Q4 2025</v>
      </c>
    </row>
    <row r="325" spans="1:12" ht="15" customHeight="1" x14ac:dyDescent="0.2">
      <c r="A325" s="14" t="s">
        <v>851</v>
      </c>
      <c r="B325" s="14" t="s">
        <v>850</v>
      </c>
      <c r="C325" s="18">
        <v>46006</v>
      </c>
      <c r="D325" s="18">
        <v>46009</v>
      </c>
      <c r="E325" s="14">
        <v>949</v>
      </c>
      <c r="F325" s="14" t="s">
        <v>112</v>
      </c>
      <c r="G325" s="14" t="s">
        <v>113</v>
      </c>
      <c r="H325" s="15">
        <f>IFERROR(VLOOKUP(B325,Orders!$A:$I,6,0),"")</f>
        <v>430.04</v>
      </c>
      <c r="I325" s="14" t="str">
        <f>IFERROR(VLOOKUP(B325,Orders!$A:$I,8,0),"")</f>
        <v>FOB Destination</v>
      </c>
      <c r="J325" s="16">
        <f t="shared" si="11"/>
        <v>46009</v>
      </c>
      <c r="K325" s="15">
        <f t="shared" si="12"/>
        <v>408107.96</v>
      </c>
      <c r="L325" s="14" t="str">
        <f>IF(H325="","Excluded - no order",IF(J325&lt;Assumptions!$B$3,"Pre-Q4",IF(J325&lt;=Assumptions!$B$4,"Q4 2025","Deferred Q1 2026")))</f>
        <v>Q4 2025</v>
      </c>
    </row>
    <row r="326" spans="1:12" ht="15" customHeight="1" x14ac:dyDescent="0.2">
      <c r="A326" s="14" t="s">
        <v>852</v>
      </c>
      <c r="B326" s="14" t="s">
        <v>853</v>
      </c>
      <c r="C326" s="18">
        <v>45995</v>
      </c>
      <c r="D326" s="18">
        <v>46000</v>
      </c>
      <c r="E326" s="14">
        <v>242</v>
      </c>
      <c r="F326" s="14" t="s">
        <v>118</v>
      </c>
      <c r="G326" s="14" t="s">
        <v>119</v>
      </c>
      <c r="H326" s="15">
        <f>IFERROR(VLOOKUP(B326,Orders!$A:$I,6,0),"")</f>
        <v>84.38</v>
      </c>
      <c r="I326" s="14" t="str">
        <f>IFERROR(VLOOKUP(B326,Orders!$A:$I,8,0),"")</f>
        <v>FOB Shipping Point</v>
      </c>
      <c r="J326" s="16">
        <f t="shared" si="11"/>
        <v>45995</v>
      </c>
      <c r="K326" s="15">
        <f t="shared" si="12"/>
        <v>20419.96</v>
      </c>
      <c r="L326" s="14" t="str">
        <f>IF(H326="","Excluded - no order",IF(J326&lt;Assumptions!$B$3,"Pre-Q4",IF(J326&lt;=Assumptions!$B$4,"Q4 2025","Deferred Q1 2026")))</f>
        <v>Q4 2025</v>
      </c>
    </row>
    <row r="327" spans="1:12" ht="15" customHeight="1" x14ac:dyDescent="0.2">
      <c r="A327" s="14" t="s">
        <v>854</v>
      </c>
      <c r="B327" s="14" t="s">
        <v>853</v>
      </c>
      <c r="C327" s="18">
        <v>45997</v>
      </c>
      <c r="D327" s="18">
        <v>46002</v>
      </c>
      <c r="E327" s="14">
        <v>304</v>
      </c>
      <c r="F327" s="14" t="s">
        <v>122</v>
      </c>
      <c r="G327" s="14" t="s">
        <v>123</v>
      </c>
      <c r="H327" s="15">
        <f>IFERROR(VLOOKUP(B327,Orders!$A:$I,6,0),"")</f>
        <v>84.38</v>
      </c>
      <c r="I327" s="14" t="str">
        <f>IFERROR(VLOOKUP(B327,Orders!$A:$I,8,0),"")</f>
        <v>FOB Shipping Point</v>
      </c>
      <c r="J327" s="16">
        <f t="shared" ref="J327:J390" si="13">IF(I327="","",IF(I327="FOB Shipping Point",C327,D327))</f>
        <v>45997</v>
      </c>
      <c r="K327" s="15">
        <f t="shared" si="12"/>
        <v>25651.519999999997</v>
      </c>
      <c r="L327" s="14" t="str">
        <f>IF(H327="","Excluded - no order",IF(J327&lt;Assumptions!$B$3,"Pre-Q4",IF(J327&lt;=Assumptions!$B$4,"Q4 2025","Deferred Q1 2026")))</f>
        <v>Q4 2025</v>
      </c>
    </row>
    <row r="328" spans="1:12" ht="15" customHeight="1" x14ac:dyDescent="0.2">
      <c r="A328" s="14" t="s">
        <v>855</v>
      </c>
      <c r="B328" s="14" t="s">
        <v>856</v>
      </c>
      <c r="C328" s="18">
        <v>46003</v>
      </c>
      <c r="D328" s="18">
        <v>46004</v>
      </c>
      <c r="E328" s="14">
        <v>915</v>
      </c>
      <c r="F328" s="14" t="s">
        <v>118</v>
      </c>
      <c r="G328" s="14" t="s">
        <v>119</v>
      </c>
      <c r="H328" s="15">
        <f>IFERROR(VLOOKUP(B328,Orders!$A:$I,6,0),"")</f>
        <v>336.22</v>
      </c>
      <c r="I328" s="14" t="str">
        <f>IFERROR(VLOOKUP(B328,Orders!$A:$I,8,0),"")</f>
        <v>FOB Shipping Point</v>
      </c>
      <c r="J328" s="16">
        <f t="shared" si="13"/>
        <v>46003</v>
      </c>
      <c r="K328" s="15">
        <f t="shared" si="12"/>
        <v>307641.30000000005</v>
      </c>
      <c r="L328" s="14" t="str">
        <f>IF(H328="","Excluded - no order",IF(J328&lt;Assumptions!$B$3,"Pre-Q4",IF(J328&lt;=Assumptions!$B$4,"Q4 2025","Deferred Q1 2026")))</f>
        <v>Q4 2025</v>
      </c>
    </row>
    <row r="329" spans="1:12" ht="15" customHeight="1" x14ac:dyDescent="0.2">
      <c r="A329" s="14" t="s">
        <v>857</v>
      </c>
      <c r="B329" s="14" t="s">
        <v>856</v>
      </c>
      <c r="C329" s="18">
        <v>46005</v>
      </c>
      <c r="D329" s="18">
        <v>46006</v>
      </c>
      <c r="E329" s="14">
        <v>885</v>
      </c>
      <c r="F329" s="14" t="s">
        <v>122</v>
      </c>
      <c r="G329" s="14" t="s">
        <v>123</v>
      </c>
      <c r="H329" s="15">
        <f>IFERROR(VLOOKUP(B329,Orders!$A:$I,6,0),"")</f>
        <v>336.22</v>
      </c>
      <c r="I329" s="14" t="str">
        <f>IFERROR(VLOOKUP(B329,Orders!$A:$I,8,0),"")</f>
        <v>FOB Shipping Point</v>
      </c>
      <c r="J329" s="16">
        <f t="shared" si="13"/>
        <v>46005</v>
      </c>
      <c r="K329" s="15">
        <f t="shared" si="12"/>
        <v>297554.7</v>
      </c>
      <c r="L329" s="14" t="str">
        <f>IF(H329="","Excluded - no order",IF(J329&lt;Assumptions!$B$3,"Pre-Q4",IF(J329&lt;=Assumptions!$B$4,"Q4 2025","Deferred Q1 2026")))</f>
        <v>Q4 2025</v>
      </c>
    </row>
    <row r="330" spans="1:12" ht="15" customHeight="1" x14ac:dyDescent="0.2">
      <c r="A330" s="14" t="s">
        <v>858</v>
      </c>
      <c r="B330" s="14" t="s">
        <v>859</v>
      </c>
      <c r="C330" s="18">
        <v>45941</v>
      </c>
      <c r="D330" s="18">
        <v>45947</v>
      </c>
      <c r="E330" s="14">
        <v>1928</v>
      </c>
      <c r="F330" s="14" t="s">
        <v>203</v>
      </c>
      <c r="G330" s="14" t="s">
        <v>204</v>
      </c>
      <c r="H330" s="15">
        <f>IFERROR(VLOOKUP(B330,Orders!$A:$I,6,0),"")</f>
        <v>164.41</v>
      </c>
      <c r="I330" s="14" t="str">
        <f>IFERROR(VLOOKUP(B330,Orders!$A:$I,8,0),"")</f>
        <v>FOB Shipping Point</v>
      </c>
      <c r="J330" s="16">
        <f t="shared" si="13"/>
        <v>45941</v>
      </c>
      <c r="K330" s="15">
        <f t="shared" si="12"/>
        <v>316982.48</v>
      </c>
      <c r="L330" s="14" t="str">
        <f>IF(H330="","Excluded - no order",IF(J330&lt;Assumptions!$B$3,"Pre-Q4",IF(J330&lt;=Assumptions!$B$4,"Q4 2025","Deferred Q1 2026")))</f>
        <v>Q4 2025</v>
      </c>
    </row>
    <row r="331" spans="1:12" ht="15" customHeight="1" x14ac:dyDescent="0.2">
      <c r="A331" s="14" t="s">
        <v>860</v>
      </c>
      <c r="B331" s="14" t="s">
        <v>861</v>
      </c>
      <c r="C331" s="18">
        <v>45973</v>
      </c>
      <c r="D331" s="18">
        <v>45976</v>
      </c>
      <c r="E331" s="14">
        <v>582</v>
      </c>
      <c r="F331" s="14" t="s">
        <v>73</v>
      </c>
      <c r="G331" s="14" t="s">
        <v>74</v>
      </c>
      <c r="H331" s="15">
        <f>IFERROR(VLOOKUP(B331,Orders!$A:$I,6,0),"")</f>
        <v>140.87</v>
      </c>
      <c r="I331" s="14" t="str">
        <f>IFERROR(VLOOKUP(B331,Orders!$A:$I,8,0),"")</f>
        <v>FOB Destination</v>
      </c>
      <c r="J331" s="16">
        <f t="shared" si="13"/>
        <v>45976</v>
      </c>
      <c r="K331" s="15">
        <f t="shared" si="12"/>
        <v>81986.34</v>
      </c>
      <c r="L331" s="14" t="str">
        <f>IF(H331="","Excluded - no order",IF(J331&lt;Assumptions!$B$3,"Pre-Q4",IF(J331&lt;=Assumptions!$B$4,"Q4 2025","Deferred Q1 2026")))</f>
        <v>Q4 2025</v>
      </c>
    </row>
    <row r="332" spans="1:12" ht="15" customHeight="1" x14ac:dyDescent="0.2">
      <c r="A332" s="14" t="s">
        <v>862</v>
      </c>
      <c r="B332" s="14" t="s">
        <v>863</v>
      </c>
      <c r="C332" s="18">
        <v>45979</v>
      </c>
      <c r="D332" s="18">
        <v>45981</v>
      </c>
      <c r="E332" s="14">
        <v>675</v>
      </c>
      <c r="F332" s="14" t="s">
        <v>225</v>
      </c>
      <c r="G332" s="14" t="s">
        <v>226</v>
      </c>
      <c r="H332" s="15">
        <f>IFERROR(VLOOKUP(B332,Orders!$A:$I,6,0),"")</f>
        <v>309.81</v>
      </c>
      <c r="I332" s="14" t="str">
        <f>IFERROR(VLOOKUP(B332,Orders!$A:$I,8,0),"")</f>
        <v>FOB Shipping Point</v>
      </c>
      <c r="J332" s="16">
        <f t="shared" si="13"/>
        <v>45979</v>
      </c>
      <c r="K332" s="15">
        <f t="shared" si="12"/>
        <v>209121.75</v>
      </c>
      <c r="L332" s="14" t="str">
        <f>IF(H332="","Excluded - no order",IF(J332&lt;Assumptions!$B$3,"Pre-Q4",IF(J332&lt;=Assumptions!$B$4,"Q4 2025","Deferred Q1 2026")))</f>
        <v>Q4 2025</v>
      </c>
    </row>
    <row r="333" spans="1:12" ht="15" customHeight="1" x14ac:dyDescent="0.2">
      <c r="A333" s="14" t="s">
        <v>864</v>
      </c>
      <c r="B333" s="14" t="s">
        <v>863</v>
      </c>
      <c r="C333" s="18">
        <v>45981</v>
      </c>
      <c r="D333" s="18">
        <v>45983</v>
      </c>
      <c r="E333" s="14">
        <v>193</v>
      </c>
      <c r="F333" s="14" t="s">
        <v>239</v>
      </c>
      <c r="G333" s="14" t="s">
        <v>240</v>
      </c>
      <c r="H333" s="15">
        <f>IFERROR(VLOOKUP(B333,Orders!$A:$I,6,0),"")</f>
        <v>309.81</v>
      </c>
      <c r="I333" s="14" t="str">
        <f>IFERROR(VLOOKUP(B333,Orders!$A:$I,8,0),"")</f>
        <v>FOB Shipping Point</v>
      </c>
      <c r="J333" s="16">
        <f t="shared" si="13"/>
        <v>45981</v>
      </c>
      <c r="K333" s="15">
        <f t="shared" si="12"/>
        <v>59793.33</v>
      </c>
      <c r="L333" s="14" t="str">
        <f>IF(H333="","Excluded - no order",IF(J333&lt;Assumptions!$B$3,"Pre-Q4",IF(J333&lt;=Assumptions!$B$4,"Q4 2025","Deferred Q1 2026")))</f>
        <v>Q4 2025</v>
      </c>
    </row>
    <row r="334" spans="1:12" ht="15" customHeight="1" x14ac:dyDescent="0.2">
      <c r="A334" s="14" t="s">
        <v>865</v>
      </c>
      <c r="B334" s="14" t="s">
        <v>866</v>
      </c>
      <c r="C334" s="18">
        <v>46019</v>
      </c>
      <c r="D334" s="18">
        <v>46026</v>
      </c>
      <c r="E334" s="14">
        <v>1117</v>
      </c>
      <c r="F334" s="14" t="s">
        <v>867</v>
      </c>
      <c r="G334" s="14" t="s">
        <v>868</v>
      </c>
      <c r="H334" s="15">
        <f>IFERROR(VLOOKUP(B334,Orders!$A:$I,6,0),"")</f>
        <v>13.97</v>
      </c>
      <c r="I334" s="14" t="str">
        <f>IFERROR(VLOOKUP(B334,Orders!$A:$I,8,0),"")</f>
        <v>FOB Shipping Point</v>
      </c>
      <c r="J334" s="16">
        <f t="shared" si="13"/>
        <v>46019</v>
      </c>
      <c r="K334" s="15">
        <f t="shared" si="12"/>
        <v>15604.490000000002</v>
      </c>
      <c r="L334" s="14" t="str">
        <f>IF(H334="","Excluded - no order",IF(J334&lt;Assumptions!$B$3,"Pre-Q4",IF(J334&lt;=Assumptions!$B$4,"Q4 2025","Deferred Q1 2026")))</f>
        <v>Q4 2025</v>
      </c>
    </row>
    <row r="335" spans="1:12" ht="15" customHeight="1" x14ac:dyDescent="0.2">
      <c r="A335" s="14" t="s">
        <v>869</v>
      </c>
      <c r="B335" s="14" t="s">
        <v>870</v>
      </c>
      <c r="C335" s="18">
        <v>45966</v>
      </c>
      <c r="D335" s="18">
        <v>45971</v>
      </c>
      <c r="E335" s="14">
        <v>295</v>
      </c>
      <c r="F335" s="14" t="s">
        <v>77</v>
      </c>
      <c r="G335" s="14" t="s">
        <v>78</v>
      </c>
      <c r="H335" s="15">
        <f>IFERROR(VLOOKUP(B335,Orders!$A:$I,6,0),"")</f>
        <v>486.59</v>
      </c>
      <c r="I335" s="14" t="str">
        <f>IFERROR(VLOOKUP(B335,Orders!$A:$I,8,0),"")</f>
        <v>FOB Destination</v>
      </c>
      <c r="J335" s="16">
        <f t="shared" si="13"/>
        <v>45971</v>
      </c>
      <c r="K335" s="15">
        <f t="shared" si="12"/>
        <v>143544.04999999999</v>
      </c>
      <c r="L335" s="14" t="str">
        <f>IF(H335="","Excluded - no order",IF(J335&lt;Assumptions!$B$3,"Pre-Q4",IF(J335&lt;=Assumptions!$B$4,"Q4 2025","Deferred Q1 2026")))</f>
        <v>Q4 2025</v>
      </c>
    </row>
    <row r="336" spans="1:12" ht="15" customHeight="1" x14ac:dyDescent="0.2">
      <c r="A336" s="14" t="s">
        <v>871</v>
      </c>
      <c r="B336" s="14" t="s">
        <v>872</v>
      </c>
      <c r="C336" s="18">
        <v>45978</v>
      </c>
      <c r="D336" s="18">
        <v>45982</v>
      </c>
      <c r="E336" s="14">
        <v>1112</v>
      </c>
      <c r="F336" s="14" t="s">
        <v>149</v>
      </c>
      <c r="G336" s="14" t="s">
        <v>150</v>
      </c>
      <c r="H336" s="15">
        <f>IFERROR(VLOOKUP(B336,Orders!$A:$I,6,0),"")</f>
        <v>4.08</v>
      </c>
      <c r="I336" s="14" t="str">
        <f>IFERROR(VLOOKUP(B336,Orders!$A:$I,8,0),"")</f>
        <v>FOB Destination</v>
      </c>
      <c r="J336" s="16">
        <f t="shared" si="13"/>
        <v>45982</v>
      </c>
      <c r="K336" s="15">
        <f t="shared" si="12"/>
        <v>4536.96</v>
      </c>
      <c r="L336" s="14" t="str">
        <f>IF(H336="","Excluded - no order",IF(J336&lt;Assumptions!$B$3,"Pre-Q4",IF(J336&lt;=Assumptions!$B$4,"Q4 2025","Deferred Q1 2026")))</f>
        <v>Q4 2025</v>
      </c>
    </row>
    <row r="337" spans="1:12" ht="15" customHeight="1" x14ac:dyDescent="0.2">
      <c r="A337" s="14" t="s">
        <v>873</v>
      </c>
      <c r="B337" s="14" t="s">
        <v>874</v>
      </c>
      <c r="C337" s="18">
        <v>46020</v>
      </c>
      <c r="D337" s="18">
        <v>46021</v>
      </c>
      <c r="E337" s="14">
        <v>1035</v>
      </c>
      <c r="F337" s="14" t="s">
        <v>875</v>
      </c>
      <c r="G337" s="14" t="s">
        <v>876</v>
      </c>
      <c r="H337" s="15">
        <f>IFERROR(VLOOKUP(B337,Orders!$A:$I,6,0),"")</f>
        <v>86.42</v>
      </c>
      <c r="I337" s="14" t="str">
        <f>IFERROR(VLOOKUP(B337,Orders!$A:$I,8,0),"")</f>
        <v>FOB Shipping Point</v>
      </c>
      <c r="J337" s="16">
        <f t="shared" si="13"/>
        <v>46020</v>
      </c>
      <c r="K337" s="15">
        <f t="shared" si="12"/>
        <v>89444.7</v>
      </c>
      <c r="L337" s="14" t="str">
        <f>IF(H337="","Excluded - no order",IF(J337&lt;Assumptions!$B$3,"Pre-Q4",IF(J337&lt;=Assumptions!$B$4,"Q4 2025","Deferred Q1 2026")))</f>
        <v>Q4 2025</v>
      </c>
    </row>
    <row r="338" spans="1:12" ht="15" customHeight="1" x14ac:dyDescent="0.2">
      <c r="A338" s="14" t="s">
        <v>877</v>
      </c>
      <c r="B338" s="14" t="s">
        <v>878</v>
      </c>
      <c r="C338" s="18">
        <v>45991</v>
      </c>
      <c r="D338" s="18">
        <v>45995</v>
      </c>
      <c r="E338" s="14">
        <v>1116</v>
      </c>
      <c r="F338" s="14" t="s">
        <v>73</v>
      </c>
      <c r="G338" s="14" t="s">
        <v>74</v>
      </c>
      <c r="H338" s="15">
        <f>IFERROR(VLOOKUP(B338,Orders!$A:$I,6,0),"")</f>
        <v>254.22</v>
      </c>
      <c r="I338" s="14" t="str">
        <f>IFERROR(VLOOKUP(B338,Orders!$A:$I,8,0),"")</f>
        <v>FOB Shipping Point</v>
      </c>
      <c r="J338" s="16">
        <f t="shared" si="13"/>
        <v>45991</v>
      </c>
      <c r="K338" s="15">
        <f t="shared" si="12"/>
        <v>283709.52</v>
      </c>
      <c r="L338" s="14" t="str">
        <f>IF(H338="","Excluded - no order",IF(J338&lt;Assumptions!$B$3,"Pre-Q4",IF(J338&lt;=Assumptions!$B$4,"Q4 2025","Deferred Q1 2026")))</f>
        <v>Q4 2025</v>
      </c>
    </row>
    <row r="339" spans="1:12" ht="15" customHeight="1" x14ac:dyDescent="0.2">
      <c r="A339" s="14" t="s">
        <v>879</v>
      </c>
      <c r="B339" s="14" t="s">
        <v>880</v>
      </c>
      <c r="C339" s="18">
        <v>46019</v>
      </c>
      <c r="D339" s="18">
        <v>46022</v>
      </c>
      <c r="E339" s="14">
        <v>974</v>
      </c>
      <c r="F339" s="14" t="s">
        <v>77</v>
      </c>
      <c r="G339" s="14" t="s">
        <v>78</v>
      </c>
      <c r="H339" s="15">
        <f>IFERROR(VLOOKUP(B339,Orders!$A:$I,6,0),"")</f>
        <v>180.9</v>
      </c>
      <c r="I339" s="14" t="str">
        <f>IFERROR(VLOOKUP(B339,Orders!$A:$I,8,0),"")</f>
        <v>FOB Destination</v>
      </c>
      <c r="J339" s="16">
        <f t="shared" si="13"/>
        <v>46022</v>
      </c>
      <c r="K339" s="15">
        <f t="shared" si="12"/>
        <v>176196.6</v>
      </c>
      <c r="L339" s="14" t="str">
        <f>IF(H339="","Excluded - no order",IF(J339&lt;Assumptions!$B$3,"Pre-Q4",IF(J339&lt;=Assumptions!$B$4,"Q4 2025","Deferred Q1 2026")))</f>
        <v>Q4 2025</v>
      </c>
    </row>
    <row r="340" spans="1:12" ht="15" customHeight="1" x14ac:dyDescent="0.2">
      <c r="A340" s="14" t="s">
        <v>881</v>
      </c>
      <c r="B340" s="14" t="s">
        <v>882</v>
      </c>
      <c r="C340" s="18">
        <v>46005</v>
      </c>
      <c r="D340" s="18">
        <v>46009</v>
      </c>
      <c r="E340" s="14">
        <v>945</v>
      </c>
      <c r="F340" s="14" t="s">
        <v>77</v>
      </c>
      <c r="G340" s="14" t="s">
        <v>78</v>
      </c>
      <c r="H340" s="15">
        <f>IFERROR(VLOOKUP(B340,Orders!$A:$I,6,0),"")</f>
        <v>405.89</v>
      </c>
      <c r="I340" s="14" t="str">
        <f>IFERROR(VLOOKUP(B340,Orders!$A:$I,8,0),"")</f>
        <v>FOB Shipping Point</v>
      </c>
      <c r="J340" s="16">
        <f t="shared" si="13"/>
        <v>46005</v>
      </c>
      <c r="K340" s="15">
        <f t="shared" si="12"/>
        <v>383566.05</v>
      </c>
      <c r="L340" s="14" t="str">
        <f>IF(H340="","Excluded - no order",IF(J340&lt;Assumptions!$B$3,"Pre-Q4",IF(J340&lt;=Assumptions!$B$4,"Q4 2025","Deferred Q1 2026")))</f>
        <v>Q4 2025</v>
      </c>
    </row>
    <row r="341" spans="1:12" ht="15" customHeight="1" x14ac:dyDescent="0.2">
      <c r="A341" s="14" t="s">
        <v>883</v>
      </c>
      <c r="B341" s="14" t="s">
        <v>884</v>
      </c>
      <c r="C341" s="18">
        <v>45997</v>
      </c>
      <c r="D341" s="18">
        <v>46003</v>
      </c>
      <c r="E341" s="14">
        <v>1429</v>
      </c>
      <c r="F341" s="14" t="s">
        <v>252</v>
      </c>
      <c r="G341" s="14" t="s">
        <v>253</v>
      </c>
      <c r="H341" s="15">
        <f>IFERROR(VLOOKUP(B341,Orders!$A:$I,6,0),"")</f>
        <v>406.79</v>
      </c>
      <c r="I341" s="14" t="str">
        <f>IFERROR(VLOOKUP(B341,Orders!$A:$I,8,0),"")</f>
        <v>FOB Shipping Point</v>
      </c>
      <c r="J341" s="16">
        <f t="shared" si="13"/>
        <v>45997</v>
      </c>
      <c r="K341" s="15">
        <f t="shared" si="12"/>
        <v>581302.91</v>
      </c>
      <c r="L341" s="14" t="str">
        <f>IF(H341="","Excluded - no order",IF(J341&lt;Assumptions!$B$3,"Pre-Q4",IF(J341&lt;=Assumptions!$B$4,"Q4 2025","Deferred Q1 2026")))</f>
        <v>Q4 2025</v>
      </c>
    </row>
    <row r="342" spans="1:12" ht="15" customHeight="1" x14ac:dyDescent="0.2">
      <c r="A342" s="14" t="s">
        <v>885</v>
      </c>
      <c r="B342" s="14" t="s">
        <v>886</v>
      </c>
      <c r="C342" s="18">
        <v>46018</v>
      </c>
      <c r="D342" s="18">
        <v>46028</v>
      </c>
      <c r="E342" s="14">
        <v>1415</v>
      </c>
      <c r="F342" s="14" t="s">
        <v>100</v>
      </c>
      <c r="G342" s="14" t="s">
        <v>101</v>
      </c>
      <c r="H342" s="15">
        <f>IFERROR(VLOOKUP(B342,Orders!$A:$I,6,0),"")</f>
        <v>357.23</v>
      </c>
      <c r="I342" s="14" t="str">
        <f>IFERROR(VLOOKUP(B342,Orders!$A:$I,8,0),"")</f>
        <v>FOB Destination</v>
      </c>
      <c r="J342" s="16">
        <f t="shared" si="13"/>
        <v>46028</v>
      </c>
      <c r="K342" s="15">
        <f t="shared" si="12"/>
        <v>505480.45</v>
      </c>
      <c r="L342" s="14" t="str">
        <f>IF(H342="","Excluded - no order",IF(J342&lt;Assumptions!$B$3,"Pre-Q4",IF(J342&lt;=Assumptions!$B$4,"Q4 2025","Deferred Q1 2026")))</f>
        <v>Deferred Q1 2026</v>
      </c>
    </row>
    <row r="343" spans="1:12" ht="15" customHeight="1" x14ac:dyDescent="0.2">
      <c r="A343" s="14" t="s">
        <v>887</v>
      </c>
      <c r="B343" s="14" t="s">
        <v>888</v>
      </c>
      <c r="C343" s="18">
        <v>46021</v>
      </c>
      <c r="D343" s="18">
        <v>46029</v>
      </c>
      <c r="E343" s="14">
        <v>1355</v>
      </c>
      <c r="F343" s="14" t="s">
        <v>112</v>
      </c>
      <c r="G343" s="14" t="s">
        <v>113</v>
      </c>
      <c r="H343" s="15">
        <f>IFERROR(VLOOKUP(B343,Orders!$A:$I,6,0),"")</f>
        <v>480.72</v>
      </c>
      <c r="I343" s="14" t="str">
        <f>IFERROR(VLOOKUP(B343,Orders!$A:$I,8,0),"")</f>
        <v>FOB Destination</v>
      </c>
      <c r="J343" s="16">
        <f t="shared" si="13"/>
        <v>46029</v>
      </c>
      <c r="K343" s="15">
        <f t="shared" si="12"/>
        <v>651375.60000000009</v>
      </c>
      <c r="L343" s="14" t="str">
        <f>IF(H343="","Excluded - no order",IF(J343&lt;Assumptions!$B$3,"Pre-Q4",IF(J343&lt;=Assumptions!$B$4,"Q4 2025","Deferred Q1 2026")))</f>
        <v>Deferred Q1 2026</v>
      </c>
    </row>
    <row r="344" spans="1:12" ht="15" customHeight="1" x14ac:dyDescent="0.2">
      <c r="A344" s="14" t="s">
        <v>889</v>
      </c>
      <c r="B344" s="14" t="s">
        <v>890</v>
      </c>
      <c r="C344" s="18">
        <v>46007</v>
      </c>
      <c r="D344" s="18">
        <v>46011</v>
      </c>
      <c r="E344" s="14">
        <v>1159</v>
      </c>
      <c r="F344" s="14" t="s">
        <v>270</v>
      </c>
      <c r="G344" s="14" t="s">
        <v>271</v>
      </c>
      <c r="H344" s="15">
        <f>IFERROR(VLOOKUP(B344,Orders!$A:$I,6,0),"")</f>
        <v>56.12</v>
      </c>
      <c r="I344" s="14" t="str">
        <f>IFERROR(VLOOKUP(B344,Orders!$A:$I,8,0),"")</f>
        <v>FOB Shipping Point</v>
      </c>
      <c r="J344" s="16">
        <f t="shared" si="13"/>
        <v>46007</v>
      </c>
      <c r="K344" s="15">
        <f t="shared" si="12"/>
        <v>65043.079999999994</v>
      </c>
      <c r="L344" s="14" t="str">
        <f>IF(H344="","Excluded - no order",IF(J344&lt;Assumptions!$B$3,"Pre-Q4",IF(J344&lt;=Assumptions!$B$4,"Q4 2025","Deferred Q1 2026")))</f>
        <v>Q4 2025</v>
      </c>
    </row>
    <row r="345" spans="1:12" ht="15" customHeight="1" x14ac:dyDescent="0.2">
      <c r="A345" s="14" t="s">
        <v>891</v>
      </c>
      <c r="B345" s="14" t="s">
        <v>892</v>
      </c>
      <c r="C345" s="18">
        <v>46011</v>
      </c>
      <c r="D345" s="18">
        <v>46013</v>
      </c>
      <c r="E345" s="14">
        <v>239</v>
      </c>
      <c r="F345" s="14" t="s">
        <v>229</v>
      </c>
      <c r="G345" s="14" t="s">
        <v>230</v>
      </c>
      <c r="H345" s="15">
        <f>IFERROR(VLOOKUP(B345,Orders!$A:$I,6,0),"")</f>
        <v>372.02</v>
      </c>
      <c r="I345" s="14" t="str">
        <f>IFERROR(VLOOKUP(B345,Orders!$A:$I,8,0),"")</f>
        <v>FOB Shipping Point</v>
      </c>
      <c r="J345" s="16">
        <f t="shared" si="13"/>
        <v>46011</v>
      </c>
      <c r="K345" s="15">
        <f t="shared" si="12"/>
        <v>88912.78</v>
      </c>
      <c r="L345" s="14" t="str">
        <f>IF(H345="","Excluded - no order",IF(J345&lt;Assumptions!$B$3,"Pre-Q4",IF(J345&lt;=Assumptions!$B$4,"Q4 2025","Deferred Q1 2026")))</f>
        <v>Q4 2025</v>
      </c>
    </row>
    <row r="346" spans="1:12" ht="15" customHeight="1" x14ac:dyDescent="0.2">
      <c r="A346" s="14" t="s">
        <v>893</v>
      </c>
      <c r="B346" s="14" t="s">
        <v>894</v>
      </c>
      <c r="C346" s="18">
        <v>45968</v>
      </c>
      <c r="D346" s="18">
        <v>45970</v>
      </c>
      <c r="E346" s="14">
        <v>1107</v>
      </c>
      <c r="F346" s="14" t="s">
        <v>100</v>
      </c>
      <c r="G346" s="14" t="s">
        <v>101</v>
      </c>
      <c r="H346" s="15">
        <f>IFERROR(VLOOKUP(B346,Orders!$A:$I,6,0),"")</f>
        <v>73.41</v>
      </c>
      <c r="I346" s="14" t="str">
        <f>IFERROR(VLOOKUP(B346,Orders!$A:$I,8,0),"")</f>
        <v>FOB Shipping Point</v>
      </c>
      <c r="J346" s="16">
        <f t="shared" si="13"/>
        <v>45968</v>
      </c>
      <c r="K346" s="15">
        <f t="shared" si="12"/>
        <v>81264.87</v>
      </c>
      <c r="L346" s="14" t="str">
        <f>IF(H346="","Excluded - no order",IF(J346&lt;Assumptions!$B$3,"Pre-Q4",IF(J346&lt;=Assumptions!$B$4,"Q4 2025","Deferred Q1 2026")))</f>
        <v>Q4 2025</v>
      </c>
    </row>
    <row r="347" spans="1:12" ht="15" customHeight="1" x14ac:dyDescent="0.2">
      <c r="A347" s="14" t="s">
        <v>895</v>
      </c>
      <c r="B347" s="14" t="s">
        <v>896</v>
      </c>
      <c r="C347" s="18">
        <v>45946</v>
      </c>
      <c r="D347" s="18">
        <v>45949</v>
      </c>
      <c r="E347" s="14">
        <v>256</v>
      </c>
      <c r="F347" s="14" t="s">
        <v>77</v>
      </c>
      <c r="G347" s="14" t="s">
        <v>78</v>
      </c>
      <c r="H347" s="15">
        <f>IFERROR(VLOOKUP(B347,Orders!$A:$I,6,0),"")</f>
        <v>237.51</v>
      </c>
      <c r="I347" s="14" t="str">
        <f>IFERROR(VLOOKUP(B347,Orders!$A:$I,8,0),"")</f>
        <v>FOB Shipping Point</v>
      </c>
      <c r="J347" s="16">
        <f t="shared" si="13"/>
        <v>45946</v>
      </c>
      <c r="K347" s="15">
        <f t="shared" si="12"/>
        <v>60802.559999999998</v>
      </c>
      <c r="L347" s="14" t="str">
        <f>IF(H347="","Excluded - no order",IF(J347&lt;Assumptions!$B$3,"Pre-Q4",IF(J347&lt;=Assumptions!$B$4,"Q4 2025","Deferred Q1 2026")))</f>
        <v>Q4 2025</v>
      </c>
    </row>
    <row r="348" spans="1:12" ht="15" customHeight="1" x14ac:dyDescent="0.2">
      <c r="A348" s="14" t="s">
        <v>897</v>
      </c>
      <c r="B348" s="14" t="s">
        <v>896</v>
      </c>
      <c r="C348" s="18">
        <v>45948</v>
      </c>
      <c r="D348" s="18">
        <v>45951</v>
      </c>
      <c r="E348" s="14">
        <v>169</v>
      </c>
      <c r="F348" s="14" t="s">
        <v>77</v>
      </c>
      <c r="G348" s="14" t="s">
        <v>78</v>
      </c>
      <c r="H348" s="15">
        <f>IFERROR(VLOOKUP(B348,Orders!$A:$I,6,0),"")</f>
        <v>237.51</v>
      </c>
      <c r="I348" s="14" t="str">
        <f>IFERROR(VLOOKUP(B348,Orders!$A:$I,8,0),"")</f>
        <v>FOB Shipping Point</v>
      </c>
      <c r="J348" s="16">
        <f t="shared" si="13"/>
        <v>45948</v>
      </c>
      <c r="K348" s="15">
        <f t="shared" si="12"/>
        <v>40139.189999999995</v>
      </c>
      <c r="L348" s="14" t="str">
        <f>IF(H348="","Excluded - no order",IF(J348&lt;Assumptions!$B$3,"Pre-Q4",IF(J348&lt;=Assumptions!$B$4,"Q4 2025","Deferred Q1 2026")))</f>
        <v>Q4 2025</v>
      </c>
    </row>
    <row r="349" spans="1:12" ht="15" customHeight="1" x14ac:dyDescent="0.2">
      <c r="A349" s="14" t="s">
        <v>898</v>
      </c>
      <c r="B349" s="14" t="s">
        <v>899</v>
      </c>
      <c r="C349" s="18">
        <v>46020</v>
      </c>
      <c r="D349" s="18">
        <v>46021</v>
      </c>
      <c r="E349" s="14">
        <v>1658</v>
      </c>
      <c r="F349" s="14" t="s">
        <v>900</v>
      </c>
      <c r="G349" s="14" t="s">
        <v>901</v>
      </c>
      <c r="H349" s="15">
        <f>IFERROR(VLOOKUP(B349,Orders!$A:$I,6,0),"")</f>
        <v>210.78</v>
      </c>
      <c r="I349" s="14" t="str">
        <f>IFERROR(VLOOKUP(B349,Orders!$A:$I,8,0),"")</f>
        <v>FOB Shipping Point</v>
      </c>
      <c r="J349" s="16">
        <f t="shared" si="13"/>
        <v>46020</v>
      </c>
      <c r="K349" s="15">
        <f t="shared" si="12"/>
        <v>349473.24</v>
      </c>
      <c r="L349" s="14" t="str">
        <f>IF(H349="","Excluded - no order",IF(J349&lt;Assumptions!$B$3,"Pre-Q4",IF(J349&lt;=Assumptions!$B$4,"Q4 2025","Deferred Q1 2026")))</f>
        <v>Q4 2025</v>
      </c>
    </row>
    <row r="350" spans="1:12" ht="15" customHeight="1" x14ac:dyDescent="0.2">
      <c r="A350" s="14" t="s">
        <v>902</v>
      </c>
      <c r="B350" s="14" t="s">
        <v>903</v>
      </c>
      <c r="C350" s="18">
        <v>46021</v>
      </c>
      <c r="D350" s="18">
        <v>46022</v>
      </c>
      <c r="E350" s="14">
        <v>532</v>
      </c>
      <c r="F350" s="14" t="s">
        <v>149</v>
      </c>
      <c r="G350" s="14" t="s">
        <v>150</v>
      </c>
      <c r="H350" s="15">
        <f>IFERROR(VLOOKUP(B350,Orders!$A:$I,6,0),"")</f>
        <v>349.67</v>
      </c>
      <c r="I350" s="14" t="str">
        <f>IFERROR(VLOOKUP(B350,Orders!$A:$I,8,0),"")</f>
        <v>FOB Shipping Point</v>
      </c>
      <c r="J350" s="16">
        <f t="shared" si="13"/>
        <v>46021</v>
      </c>
      <c r="K350" s="15">
        <f t="shared" si="12"/>
        <v>186024.44</v>
      </c>
      <c r="L350" s="14" t="str">
        <f>IF(H350="","Excluded - no order",IF(J350&lt;Assumptions!$B$3,"Pre-Q4",IF(J350&lt;=Assumptions!$B$4,"Q4 2025","Deferred Q1 2026")))</f>
        <v>Q4 2025</v>
      </c>
    </row>
    <row r="351" spans="1:12" ht="15" customHeight="1" x14ac:dyDescent="0.2">
      <c r="A351" s="14" t="s">
        <v>904</v>
      </c>
      <c r="B351" s="14" t="s">
        <v>905</v>
      </c>
      <c r="C351" s="18">
        <v>45979</v>
      </c>
      <c r="D351" s="18">
        <v>45985</v>
      </c>
      <c r="E351" s="14">
        <v>1920</v>
      </c>
      <c r="F351" s="14" t="s">
        <v>233</v>
      </c>
      <c r="G351" s="14" t="s">
        <v>234</v>
      </c>
      <c r="H351" s="15">
        <f>IFERROR(VLOOKUP(B351,Orders!$A:$I,6,0),"")</f>
        <v>21.47</v>
      </c>
      <c r="I351" s="14" t="str">
        <f>IFERROR(VLOOKUP(B351,Orders!$A:$I,8,0),"")</f>
        <v>FOB Destination</v>
      </c>
      <c r="J351" s="16">
        <f t="shared" si="13"/>
        <v>45985</v>
      </c>
      <c r="K351" s="15">
        <f t="shared" si="12"/>
        <v>41222.399999999994</v>
      </c>
      <c r="L351" s="14" t="str">
        <f>IF(H351="","Excluded - no order",IF(J351&lt;Assumptions!$B$3,"Pre-Q4",IF(J351&lt;=Assumptions!$B$4,"Q4 2025","Deferred Q1 2026")))</f>
        <v>Q4 2025</v>
      </c>
    </row>
    <row r="352" spans="1:12" ht="15" customHeight="1" x14ac:dyDescent="0.2">
      <c r="A352" s="14" t="s">
        <v>906</v>
      </c>
      <c r="B352" s="14" t="s">
        <v>907</v>
      </c>
      <c r="C352" s="18">
        <v>46005</v>
      </c>
      <c r="D352" s="18">
        <v>46006</v>
      </c>
      <c r="E352" s="14">
        <v>1704</v>
      </c>
      <c r="F352" s="14" t="s">
        <v>262</v>
      </c>
      <c r="G352" s="14" t="s">
        <v>263</v>
      </c>
      <c r="H352" s="15">
        <f>IFERROR(VLOOKUP(B352,Orders!$A:$I,6,0),"")</f>
        <v>407</v>
      </c>
      <c r="I352" s="14" t="str">
        <f>IFERROR(VLOOKUP(B352,Orders!$A:$I,8,0),"")</f>
        <v>FOB Shipping Point</v>
      </c>
      <c r="J352" s="16">
        <f t="shared" si="13"/>
        <v>46005</v>
      </c>
      <c r="K352" s="15">
        <f t="shared" si="12"/>
        <v>693528</v>
      </c>
      <c r="L352" s="14" t="str">
        <f>IF(H352="","Excluded - no order",IF(J352&lt;Assumptions!$B$3,"Pre-Q4",IF(J352&lt;=Assumptions!$B$4,"Q4 2025","Deferred Q1 2026")))</f>
        <v>Q4 2025</v>
      </c>
    </row>
    <row r="353" spans="1:12" ht="15" customHeight="1" x14ac:dyDescent="0.2">
      <c r="A353" s="14" t="s">
        <v>908</v>
      </c>
      <c r="B353" s="14" t="s">
        <v>909</v>
      </c>
      <c r="C353" s="18">
        <v>45988</v>
      </c>
      <c r="D353" s="18">
        <v>45989</v>
      </c>
      <c r="E353" s="14">
        <v>1555</v>
      </c>
      <c r="F353" s="14" t="s">
        <v>77</v>
      </c>
      <c r="G353" s="14" t="s">
        <v>78</v>
      </c>
      <c r="H353" s="15">
        <f>IFERROR(VLOOKUP(B353,Orders!$A:$I,6,0),"")</f>
        <v>48.95</v>
      </c>
      <c r="I353" s="14" t="str">
        <f>IFERROR(VLOOKUP(B353,Orders!$A:$I,8,0),"")</f>
        <v>FOB Destination</v>
      </c>
      <c r="J353" s="16">
        <f t="shared" si="13"/>
        <v>45989</v>
      </c>
      <c r="K353" s="15">
        <f t="shared" si="12"/>
        <v>76117.25</v>
      </c>
      <c r="L353" s="14" t="str">
        <f>IF(H353="","Excluded - no order",IF(J353&lt;Assumptions!$B$3,"Pre-Q4",IF(J353&lt;=Assumptions!$B$4,"Q4 2025","Deferred Q1 2026")))</f>
        <v>Q4 2025</v>
      </c>
    </row>
    <row r="354" spans="1:12" ht="15" customHeight="1" x14ac:dyDescent="0.2">
      <c r="A354" s="14" t="s">
        <v>910</v>
      </c>
      <c r="B354" s="14" t="s">
        <v>911</v>
      </c>
      <c r="C354" s="18">
        <v>46003</v>
      </c>
      <c r="D354" s="18">
        <v>46007</v>
      </c>
      <c r="E354" s="14">
        <v>1355</v>
      </c>
      <c r="F354" s="14" t="s">
        <v>112</v>
      </c>
      <c r="G354" s="14" t="s">
        <v>113</v>
      </c>
      <c r="H354" s="15">
        <f>IFERROR(VLOOKUP(B354,Orders!$A:$I,6,0),"")</f>
        <v>408.31</v>
      </c>
      <c r="I354" s="14" t="str">
        <f>IFERROR(VLOOKUP(B354,Orders!$A:$I,8,0),"")</f>
        <v>FOB Shipping Point</v>
      </c>
      <c r="J354" s="16">
        <f t="shared" si="13"/>
        <v>46003</v>
      </c>
      <c r="K354" s="15">
        <f t="shared" si="12"/>
        <v>553260.05000000005</v>
      </c>
      <c r="L354" s="14" t="str">
        <f>IF(H354="","Excluded - no order",IF(J354&lt;Assumptions!$B$3,"Pre-Q4",IF(J354&lt;=Assumptions!$B$4,"Q4 2025","Deferred Q1 2026")))</f>
        <v>Q4 2025</v>
      </c>
    </row>
    <row r="355" spans="1:12" ht="15" customHeight="1" x14ac:dyDescent="0.2">
      <c r="A355" s="14" t="s">
        <v>912</v>
      </c>
      <c r="B355" s="14" t="s">
        <v>913</v>
      </c>
      <c r="C355" s="18">
        <v>45962</v>
      </c>
      <c r="D355" s="18">
        <v>45963</v>
      </c>
      <c r="E355" s="14">
        <v>1055</v>
      </c>
      <c r="F355" s="14" t="s">
        <v>118</v>
      </c>
      <c r="G355" s="14" t="s">
        <v>119</v>
      </c>
      <c r="H355" s="15">
        <f>IFERROR(VLOOKUP(B355,Orders!$A:$I,6,0),"")</f>
        <v>108.04</v>
      </c>
      <c r="I355" s="14" t="str">
        <f>IFERROR(VLOOKUP(B355,Orders!$A:$I,8,0),"")</f>
        <v>FOB Shipping Point</v>
      </c>
      <c r="J355" s="16">
        <f t="shared" si="13"/>
        <v>45962</v>
      </c>
      <c r="K355" s="15">
        <f t="shared" si="12"/>
        <v>113982.20000000001</v>
      </c>
      <c r="L355" s="14" t="str">
        <f>IF(H355="","Excluded - no order",IF(J355&lt;Assumptions!$B$3,"Pre-Q4",IF(J355&lt;=Assumptions!$B$4,"Q4 2025","Deferred Q1 2026")))</f>
        <v>Q4 2025</v>
      </c>
    </row>
    <row r="356" spans="1:12" ht="15" customHeight="1" x14ac:dyDescent="0.2">
      <c r="A356" s="14" t="s">
        <v>914</v>
      </c>
      <c r="B356" s="14" t="s">
        <v>915</v>
      </c>
      <c r="C356" s="18">
        <v>45971</v>
      </c>
      <c r="D356" s="18">
        <v>45972</v>
      </c>
      <c r="E356" s="14">
        <v>887</v>
      </c>
      <c r="F356" s="14" t="s">
        <v>122</v>
      </c>
      <c r="G356" s="14" t="s">
        <v>123</v>
      </c>
      <c r="H356" s="15">
        <f>IFERROR(VLOOKUP(B356,Orders!$A:$I,6,0),"")</f>
        <v>286.52</v>
      </c>
      <c r="I356" s="14" t="str">
        <f>IFERROR(VLOOKUP(B356,Orders!$A:$I,8,0),"")</f>
        <v>FOB Shipping Point</v>
      </c>
      <c r="J356" s="16">
        <f t="shared" si="13"/>
        <v>45971</v>
      </c>
      <c r="K356" s="15">
        <f t="shared" si="12"/>
        <v>254143.24</v>
      </c>
      <c r="L356" s="14" t="str">
        <f>IF(H356="","Excluded - no order",IF(J356&lt;Assumptions!$B$3,"Pre-Q4",IF(J356&lt;=Assumptions!$B$4,"Q4 2025","Deferred Q1 2026")))</f>
        <v>Q4 2025</v>
      </c>
    </row>
    <row r="357" spans="1:12" ht="15" customHeight="1" x14ac:dyDescent="0.2">
      <c r="A357" s="14" t="s">
        <v>916</v>
      </c>
      <c r="B357" s="14" t="s">
        <v>915</v>
      </c>
      <c r="C357" s="18">
        <v>45973</v>
      </c>
      <c r="D357" s="18">
        <v>45974</v>
      </c>
      <c r="E357" s="14">
        <v>732</v>
      </c>
      <c r="F357" s="14" t="s">
        <v>149</v>
      </c>
      <c r="G357" s="14" t="s">
        <v>150</v>
      </c>
      <c r="H357" s="15">
        <f>IFERROR(VLOOKUP(B357,Orders!$A:$I,6,0),"")</f>
        <v>286.52</v>
      </c>
      <c r="I357" s="14" t="str">
        <f>IFERROR(VLOOKUP(B357,Orders!$A:$I,8,0),"")</f>
        <v>FOB Shipping Point</v>
      </c>
      <c r="J357" s="16">
        <f t="shared" si="13"/>
        <v>45973</v>
      </c>
      <c r="K357" s="15">
        <f t="shared" si="12"/>
        <v>209732.63999999998</v>
      </c>
      <c r="L357" s="14" t="str">
        <f>IF(H357="","Excluded - no order",IF(J357&lt;Assumptions!$B$3,"Pre-Q4",IF(J357&lt;=Assumptions!$B$4,"Q4 2025","Deferred Q1 2026")))</f>
        <v>Q4 2025</v>
      </c>
    </row>
    <row r="358" spans="1:12" ht="15" customHeight="1" x14ac:dyDescent="0.2">
      <c r="A358" s="14" t="s">
        <v>917</v>
      </c>
      <c r="B358" s="14" t="s">
        <v>918</v>
      </c>
      <c r="C358" s="18">
        <v>46003</v>
      </c>
      <c r="D358" s="18">
        <v>46009</v>
      </c>
      <c r="E358" s="14">
        <v>94</v>
      </c>
      <c r="F358" s="14" t="s">
        <v>73</v>
      </c>
      <c r="G358" s="14" t="s">
        <v>74</v>
      </c>
      <c r="H358" s="15">
        <f>IFERROR(VLOOKUP(B358,Orders!$A:$I,6,0),"")</f>
        <v>55.29</v>
      </c>
      <c r="I358" s="14" t="str">
        <f>IFERROR(VLOOKUP(B358,Orders!$A:$I,8,0),"")</f>
        <v>FOB Destination</v>
      </c>
      <c r="J358" s="16">
        <f t="shared" si="13"/>
        <v>46009</v>
      </c>
      <c r="K358" s="15">
        <f t="shared" si="12"/>
        <v>5197.26</v>
      </c>
      <c r="L358" s="14" t="str">
        <f>IF(H358="","Excluded - no order",IF(J358&lt;Assumptions!$B$3,"Pre-Q4",IF(J358&lt;=Assumptions!$B$4,"Q4 2025","Deferred Q1 2026")))</f>
        <v>Q4 2025</v>
      </c>
    </row>
    <row r="359" spans="1:12" ht="15" customHeight="1" x14ac:dyDescent="0.2">
      <c r="A359" s="14" t="s">
        <v>919</v>
      </c>
      <c r="B359" s="14" t="s">
        <v>920</v>
      </c>
      <c r="C359" s="18">
        <v>45974</v>
      </c>
      <c r="D359" s="18">
        <v>45978</v>
      </c>
      <c r="E359" s="14">
        <v>1642</v>
      </c>
      <c r="F359" s="14" t="s">
        <v>118</v>
      </c>
      <c r="G359" s="14" t="s">
        <v>119</v>
      </c>
      <c r="H359" s="15">
        <f>IFERROR(VLOOKUP(B359,Orders!$A:$I,6,0),"")</f>
        <v>172.51</v>
      </c>
      <c r="I359" s="14" t="str">
        <f>IFERROR(VLOOKUP(B359,Orders!$A:$I,8,0),"")</f>
        <v>FOB Shipping Point</v>
      </c>
      <c r="J359" s="16">
        <f t="shared" si="13"/>
        <v>45974</v>
      </c>
      <c r="K359" s="15">
        <f t="shared" si="12"/>
        <v>283261.42</v>
      </c>
      <c r="L359" s="14" t="str">
        <f>IF(H359="","Excluded - no order",IF(J359&lt;Assumptions!$B$3,"Pre-Q4",IF(J359&lt;=Assumptions!$B$4,"Q4 2025","Deferred Q1 2026")))</f>
        <v>Q4 2025</v>
      </c>
    </row>
    <row r="360" spans="1:12" ht="15" customHeight="1" x14ac:dyDescent="0.2">
      <c r="A360" s="14" t="s">
        <v>921</v>
      </c>
      <c r="B360" s="14" t="s">
        <v>922</v>
      </c>
      <c r="C360" s="18">
        <v>46014</v>
      </c>
      <c r="D360" s="18">
        <v>46016</v>
      </c>
      <c r="E360" s="14">
        <v>760</v>
      </c>
      <c r="F360" s="14" t="s">
        <v>923</v>
      </c>
      <c r="G360" s="14" t="s">
        <v>924</v>
      </c>
      <c r="H360" s="15">
        <f>IFERROR(VLOOKUP(B360,Orders!$A:$I,6,0),"")</f>
        <v>31.21</v>
      </c>
      <c r="I360" s="14" t="str">
        <f>IFERROR(VLOOKUP(B360,Orders!$A:$I,8,0),"")</f>
        <v>FOB Shipping Point</v>
      </c>
      <c r="J360" s="16">
        <f t="shared" si="13"/>
        <v>46014</v>
      </c>
      <c r="K360" s="15">
        <f t="shared" si="12"/>
        <v>23719.600000000002</v>
      </c>
      <c r="L360" s="14" t="str">
        <f>IF(H360="","Excluded - no order",IF(J360&lt;Assumptions!$B$3,"Pre-Q4",IF(J360&lt;=Assumptions!$B$4,"Q4 2025","Deferred Q1 2026")))</f>
        <v>Q4 2025</v>
      </c>
    </row>
    <row r="361" spans="1:12" ht="15" customHeight="1" x14ac:dyDescent="0.2">
      <c r="A361" s="14" t="s">
        <v>925</v>
      </c>
      <c r="B361" s="14" t="s">
        <v>926</v>
      </c>
      <c r="C361" s="18">
        <v>46009</v>
      </c>
      <c r="D361" s="18">
        <v>46010</v>
      </c>
      <c r="E361" s="14">
        <v>1684</v>
      </c>
      <c r="F361" s="14" t="s">
        <v>122</v>
      </c>
      <c r="G361" s="14" t="s">
        <v>123</v>
      </c>
      <c r="H361" s="15">
        <f>IFERROR(VLOOKUP(B361,Orders!$A:$I,6,0),"")</f>
        <v>224.9</v>
      </c>
      <c r="I361" s="14" t="str">
        <f>IFERROR(VLOOKUP(B361,Orders!$A:$I,8,0),"")</f>
        <v>FOB Destination</v>
      </c>
      <c r="J361" s="16">
        <f t="shared" si="13"/>
        <v>46010</v>
      </c>
      <c r="K361" s="15">
        <f t="shared" si="12"/>
        <v>378731.60000000003</v>
      </c>
      <c r="L361" s="14" t="str">
        <f>IF(H361="","Excluded - no order",IF(J361&lt;Assumptions!$B$3,"Pre-Q4",IF(J361&lt;=Assumptions!$B$4,"Q4 2025","Deferred Q1 2026")))</f>
        <v>Q4 2025</v>
      </c>
    </row>
    <row r="362" spans="1:12" ht="15" customHeight="1" x14ac:dyDescent="0.2">
      <c r="A362" s="14" t="s">
        <v>927</v>
      </c>
      <c r="B362" s="14" t="s">
        <v>928</v>
      </c>
      <c r="C362" s="18">
        <v>45997</v>
      </c>
      <c r="D362" s="18">
        <v>46001</v>
      </c>
      <c r="E362" s="14">
        <v>1370</v>
      </c>
      <c r="F362" s="14" t="s">
        <v>929</v>
      </c>
      <c r="G362" s="14" t="s">
        <v>930</v>
      </c>
      <c r="H362" s="15">
        <f>IFERROR(VLOOKUP(B362,Orders!$A:$I,6,0),"")</f>
        <v>104.2</v>
      </c>
      <c r="I362" s="14" t="str">
        <f>IFERROR(VLOOKUP(B362,Orders!$A:$I,8,0),"")</f>
        <v>FOB Destination</v>
      </c>
      <c r="J362" s="16">
        <f t="shared" si="13"/>
        <v>46001</v>
      </c>
      <c r="K362" s="15">
        <f t="shared" si="12"/>
        <v>142754</v>
      </c>
      <c r="L362" s="14" t="str">
        <f>IF(H362="","Excluded - no order",IF(J362&lt;Assumptions!$B$3,"Pre-Q4",IF(J362&lt;=Assumptions!$B$4,"Q4 2025","Deferred Q1 2026")))</f>
        <v>Q4 2025</v>
      </c>
    </row>
    <row r="363" spans="1:12" ht="15" customHeight="1" x14ac:dyDescent="0.2">
      <c r="A363" s="14" t="s">
        <v>931</v>
      </c>
      <c r="B363" s="14" t="s">
        <v>928</v>
      </c>
      <c r="C363" s="18">
        <v>45999</v>
      </c>
      <c r="D363" s="18">
        <v>46003</v>
      </c>
      <c r="E363" s="14">
        <v>609</v>
      </c>
      <c r="F363" s="14" t="s">
        <v>932</v>
      </c>
      <c r="G363" s="14" t="s">
        <v>933</v>
      </c>
      <c r="H363" s="15">
        <f>IFERROR(VLOOKUP(B363,Orders!$A:$I,6,0),"")</f>
        <v>104.2</v>
      </c>
      <c r="I363" s="14" t="str">
        <f>IFERROR(VLOOKUP(B363,Orders!$A:$I,8,0),"")</f>
        <v>FOB Destination</v>
      </c>
      <c r="J363" s="16">
        <f t="shared" si="13"/>
        <v>46003</v>
      </c>
      <c r="K363" s="15">
        <f t="shared" si="12"/>
        <v>63457.8</v>
      </c>
      <c r="L363" s="14" t="str">
        <f>IF(H363="","Excluded - no order",IF(J363&lt;Assumptions!$B$3,"Pre-Q4",IF(J363&lt;=Assumptions!$B$4,"Q4 2025","Deferred Q1 2026")))</f>
        <v>Q4 2025</v>
      </c>
    </row>
    <row r="364" spans="1:12" ht="15" customHeight="1" x14ac:dyDescent="0.2">
      <c r="A364" s="14" t="s">
        <v>934</v>
      </c>
      <c r="B364" s="14" t="s">
        <v>935</v>
      </c>
      <c r="C364" s="18">
        <v>46001</v>
      </c>
      <c r="D364" s="18">
        <v>46002</v>
      </c>
      <c r="E364" s="14">
        <v>1646</v>
      </c>
      <c r="F364" s="14" t="s">
        <v>100</v>
      </c>
      <c r="G364" s="14" t="s">
        <v>101</v>
      </c>
      <c r="H364" s="15">
        <f>IFERROR(VLOOKUP(B364,Orders!$A:$I,6,0),"")</f>
        <v>309.62</v>
      </c>
      <c r="I364" s="14" t="str">
        <f>IFERROR(VLOOKUP(B364,Orders!$A:$I,8,0),"")</f>
        <v>FOB Destination</v>
      </c>
      <c r="J364" s="16">
        <f t="shared" si="13"/>
        <v>46002</v>
      </c>
      <c r="K364" s="15">
        <f t="shared" si="12"/>
        <v>509634.52</v>
      </c>
      <c r="L364" s="14" t="str">
        <f>IF(H364="","Excluded - no order",IF(J364&lt;Assumptions!$B$3,"Pre-Q4",IF(J364&lt;=Assumptions!$B$4,"Q4 2025","Deferred Q1 2026")))</f>
        <v>Q4 2025</v>
      </c>
    </row>
    <row r="365" spans="1:12" ht="15" customHeight="1" x14ac:dyDescent="0.2">
      <c r="A365" s="14" t="s">
        <v>936</v>
      </c>
      <c r="B365" s="14" t="s">
        <v>937</v>
      </c>
      <c r="C365" s="18">
        <v>46012</v>
      </c>
      <c r="D365" s="18">
        <v>46013</v>
      </c>
      <c r="E365" s="14">
        <v>1469</v>
      </c>
      <c r="F365" s="14" t="s">
        <v>77</v>
      </c>
      <c r="G365" s="14" t="s">
        <v>78</v>
      </c>
      <c r="H365" s="15">
        <f>IFERROR(VLOOKUP(B365,Orders!$A:$I,6,0),"")</f>
        <v>25.89</v>
      </c>
      <c r="I365" s="14" t="str">
        <f>IFERROR(VLOOKUP(B365,Orders!$A:$I,8,0),"")</f>
        <v>FOB Shipping Point</v>
      </c>
      <c r="J365" s="16">
        <f t="shared" si="13"/>
        <v>46012</v>
      </c>
      <c r="K365" s="15">
        <f t="shared" si="12"/>
        <v>38032.410000000003</v>
      </c>
      <c r="L365" s="14" t="str">
        <f>IF(H365="","Excluded - no order",IF(J365&lt;Assumptions!$B$3,"Pre-Q4",IF(J365&lt;=Assumptions!$B$4,"Q4 2025","Deferred Q1 2026")))</f>
        <v>Q4 2025</v>
      </c>
    </row>
    <row r="366" spans="1:12" ht="15" customHeight="1" x14ac:dyDescent="0.2">
      <c r="A366" s="14" t="s">
        <v>938</v>
      </c>
      <c r="B366" s="14" t="s">
        <v>939</v>
      </c>
      <c r="C366" s="18">
        <v>45974</v>
      </c>
      <c r="D366" s="18">
        <v>45976</v>
      </c>
      <c r="E366" s="14">
        <v>818</v>
      </c>
      <c r="F366" s="14" t="s">
        <v>77</v>
      </c>
      <c r="G366" s="14" t="s">
        <v>78</v>
      </c>
      <c r="H366" s="15">
        <f>IFERROR(VLOOKUP(B366,Orders!$A:$I,6,0),"")</f>
        <v>292.38</v>
      </c>
      <c r="I366" s="14" t="str">
        <f>IFERROR(VLOOKUP(B366,Orders!$A:$I,8,0),"")</f>
        <v>FOB Destination</v>
      </c>
      <c r="J366" s="16">
        <f t="shared" si="13"/>
        <v>45976</v>
      </c>
      <c r="K366" s="15">
        <f t="shared" si="12"/>
        <v>239166.84</v>
      </c>
      <c r="L366" s="14" t="str">
        <f>IF(H366="","Excluded - no order",IF(J366&lt;Assumptions!$B$3,"Pre-Q4",IF(J366&lt;=Assumptions!$B$4,"Q4 2025","Deferred Q1 2026")))</f>
        <v>Q4 2025</v>
      </c>
    </row>
    <row r="367" spans="1:12" ht="15" customHeight="1" x14ac:dyDescent="0.2">
      <c r="A367" s="14" t="s">
        <v>940</v>
      </c>
      <c r="B367" s="14" t="s">
        <v>939</v>
      </c>
      <c r="C367" s="18">
        <v>45976</v>
      </c>
      <c r="D367" s="18">
        <v>45978</v>
      </c>
      <c r="E367" s="14">
        <v>548</v>
      </c>
      <c r="F367" s="14" t="s">
        <v>77</v>
      </c>
      <c r="G367" s="14" t="s">
        <v>78</v>
      </c>
      <c r="H367" s="15">
        <f>IFERROR(VLOOKUP(B367,Orders!$A:$I,6,0),"")</f>
        <v>292.38</v>
      </c>
      <c r="I367" s="14" t="str">
        <f>IFERROR(VLOOKUP(B367,Orders!$A:$I,8,0),"")</f>
        <v>FOB Destination</v>
      </c>
      <c r="J367" s="16">
        <f t="shared" si="13"/>
        <v>45978</v>
      </c>
      <c r="K367" s="15">
        <f t="shared" si="12"/>
        <v>160224.24</v>
      </c>
      <c r="L367" s="14" t="str">
        <f>IF(H367="","Excluded - no order",IF(J367&lt;Assumptions!$B$3,"Pre-Q4",IF(J367&lt;=Assumptions!$B$4,"Q4 2025","Deferred Q1 2026")))</f>
        <v>Q4 2025</v>
      </c>
    </row>
    <row r="368" spans="1:12" ht="15" customHeight="1" x14ac:dyDescent="0.2">
      <c r="A368" s="14" t="s">
        <v>941</v>
      </c>
      <c r="B368" s="14" t="s">
        <v>942</v>
      </c>
      <c r="C368" s="18">
        <v>45997</v>
      </c>
      <c r="D368" s="18">
        <v>45998</v>
      </c>
      <c r="E368" s="14">
        <v>1866</v>
      </c>
      <c r="F368" s="14" t="s">
        <v>306</v>
      </c>
      <c r="G368" s="14" t="s">
        <v>307</v>
      </c>
      <c r="H368" s="15">
        <f>IFERROR(VLOOKUP(B368,Orders!$A:$I,6,0),"")</f>
        <v>74.959999999999994</v>
      </c>
      <c r="I368" s="14" t="str">
        <f>IFERROR(VLOOKUP(B368,Orders!$A:$I,8,0),"")</f>
        <v>FOB Shipping Point</v>
      </c>
      <c r="J368" s="16">
        <f t="shared" si="13"/>
        <v>45997</v>
      </c>
      <c r="K368" s="15">
        <f t="shared" si="12"/>
        <v>139875.35999999999</v>
      </c>
      <c r="L368" s="14" t="str">
        <f>IF(H368="","Excluded - no order",IF(J368&lt;Assumptions!$B$3,"Pre-Q4",IF(J368&lt;=Assumptions!$B$4,"Q4 2025","Deferred Q1 2026")))</f>
        <v>Q4 2025</v>
      </c>
    </row>
    <row r="369" spans="1:12" ht="15" customHeight="1" x14ac:dyDescent="0.2">
      <c r="A369" s="14" t="s">
        <v>943</v>
      </c>
      <c r="B369" s="14" t="s">
        <v>944</v>
      </c>
      <c r="C369" s="18">
        <v>45978</v>
      </c>
      <c r="D369" s="18">
        <v>45984</v>
      </c>
      <c r="E369" s="14">
        <v>1547</v>
      </c>
      <c r="F369" s="14" t="s">
        <v>77</v>
      </c>
      <c r="G369" s="14" t="s">
        <v>78</v>
      </c>
      <c r="H369" s="15">
        <f>IFERROR(VLOOKUP(B369,Orders!$A:$I,6,0),"")</f>
        <v>497.13</v>
      </c>
      <c r="I369" s="14" t="str">
        <f>IFERROR(VLOOKUP(B369,Orders!$A:$I,8,0),"")</f>
        <v>FOB Shipping Point</v>
      </c>
      <c r="J369" s="16">
        <f t="shared" si="13"/>
        <v>45978</v>
      </c>
      <c r="K369" s="15">
        <f t="shared" si="12"/>
        <v>769060.11</v>
      </c>
      <c r="L369" s="14" t="str">
        <f>IF(H369="","Excluded - no order",IF(J369&lt;Assumptions!$B$3,"Pre-Q4",IF(J369&lt;=Assumptions!$B$4,"Q4 2025","Deferred Q1 2026")))</f>
        <v>Q4 2025</v>
      </c>
    </row>
    <row r="370" spans="1:12" ht="15" customHeight="1" x14ac:dyDescent="0.2">
      <c r="A370" s="14" t="s">
        <v>945</v>
      </c>
      <c r="B370" s="14" t="s">
        <v>946</v>
      </c>
      <c r="C370" s="18">
        <v>46010</v>
      </c>
      <c r="D370" s="18">
        <v>46012</v>
      </c>
      <c r="E370" s="14">
        <v>915</v>
      </c>
      <c r="F370" s="14" t="s">
        <v>947</v>
      </c>
      <c r="G370" s="14" t="s">
        <v>948</v>
      </c>
      <c r="H370" s="15">
        <f>IFERROR(VLOOKUP(B370,Orders!$A:$I,6,0),"")</f>
        <v>96.84</v>
      </c>
      <c r="I370" s="14" t="str">
        <f>IFERROR(VLOOKUP(B370,Orders!$A:$I,8,0),"")</f>
        <v>FOB Shipping Point</v>
      </c>
      <c r="J370" s="16">
        <f t="shared" si="13"/>
        <v>46010</v>
      </c>
      <c r="K370" s="15">
        <f t="shared" si="12"/>
        <v>88608.6</v>
      </c>
      <c r="L370" s="14" t="str">
        <f>IF(H370="","Excluded - no order",IF(J370&lt;Assumptions!$B$3,"Pre-Q4",IF(J370&lt;=Assumptions!$B$4,"Q4 2025","Deferred Q1 2026")))</f>
        <v>Q4 2025</v>
      </c>
    </row>
    <row r="371" spans="1:12" ht="15" customHeight="1" x14ac:dyDescent="0.2">
      <c r="A371" s="14" t="s">
        <v>949</v>
      </c>
      <c r="B371" s="14" t="s">
        <v>946</v>
      </c>
      <c r="C371" s="18">
        <v>46012</v>
      </c>
      <c r="D371" s="18">
        <v>46014</v>
      </c>
      <c r="E371" s="14">
        <v>778</v>
      </c>
      <c r="F371" s="14" t="s">
        <v>950</v>
      </c>
      <c r="G371" s="14" t="s">
        <v>951</v>
      </c>
      <c r="H371" s="15">
        <f>IFERROR(VLOOKUP(B371,Orders!$A:$I,6,0),"")</f>
        <v>96.84</v>
      </c>
      <c r="I371" s="14" t="str">
        <f>IFERROR(VLOOKUP(B371,Orders!$A:$I,8,0),"")</f>
        <v>FOB Shipping Point</v>
      </c>
      <c r="J371" s="16">
        <f t="shared" si="13"/>
        <v>46012</v>
      </c>
      <c r="K371" s="15">
        <f t="shared" si="12"/>
        <v>75341.52</v>
      </c>
      <c r="L371" s="14" t="str">
        <f>IF(H371="","Excluded - no order",IF(J371&lt;Assumptions!$B$3,"Pre-Q4",IF(J371&lt;=Assumptions!$B$4,"Q4 2025","Deferred Q1 2026")))</f>
        <v>Q4 2025</v>
      </c>
    </row>
    <row r="372" spans="1:12" ht="15" customHeight="1" x14ac:dyDescent="0.2">
      <c r="A372" s="14" t="s">
        <v>952</v>
      </c>
      <c r="B372" s="14" t="s">
        <v>953</v>
      </c>
      <c r="C372" s="18">
        <v>45960</v>
      </c>
      <c r="D372" s="18">
        <v>45964</v>
      </c>
      <c r="E372" s="14">
        <v>101</v>
      </c>
      <c r="F372" s="14" t="s">
        <v>277</v>
      </c>
      <c r="G372" s="14" t="s">
        <v>278</v>
      </c>
      <c r="H372" s="15">
        <f>IFERROR(VLOOKUP(B372,Orders!$A:$I,6,0),"")</f>
        <v>165.62</v>
      </c>
      <c r="I372" s="14" t="str">
        <f>IFERROR(VLOOKUP(B372,Orders!$A:$I,8,0),"")</f>
        <v>FOB Destination</v>
      </c>
      <c r="J372" s="16">
        <f t="shared" si="13"/>
        <v>45964</v>
      </c>
      <c r="K372" s="15">
        <f t="shared" si="12"/>
        <v>16727.62</v>
      </c>
      <c r="L372" s="14" t="str">
        <f>IF(H372="","Excluded - no order",IF(J372&lt;Assumptions!$B$3,"Pre-Q4",IF(J372&lt;=Assumptions!$B$4,"Q4 2025","Deferred Q1 2026")))</f>
        <v>Q4 2025</v>
      </c>
    </row>
    <row r="373" spans="1:12" ht="15" customHeight="1" x14ac:dyDescent="0.2">
      <c r="A373" s="14" t="s">
        <v>954</v>
      </c>
      <c r="B373" s="14" t="s">
        <v>955</v>
      </c>
      <c r="C373" s="18">
        <v>45982</v>
      </c>
      <c r="D373" s="18">
        <v>45988</v>
      </c>
      <c r="E373" s="14">
        <v>414</v>
      </c>
      <c r="F373" s="14" t="s">
        <v>284</v>
      </c>
      <c r="G373" s="14" t="s">
        <v>285</v>
      </c>
      <c r="H373" s="15">
        <f>IFERROR(VLOOKUP(B373,Orders!$A:$I,6,0),"")</f>
        <v>394.69</v>
      </c>
      <c r="I373" s="14" t="str">
        <f>IFERROR(VLOOKUP(B373,Orders!$A:$I,8,0),"")</f>
        <v>FOB Shipping Point</v>
      </c>
      <c r="J373" s="16">
        <f t="shared" si="13"/>
        <v>45982</v>
      </c>
      <c r="K373" s="15">
        <f t="shared" si="12"/>
        <v>163401.66</v>
      </c>
      <c r="L373" s="14" t="str">
        <f>IF(H373="","Excluded - no order",IF(J373&lt;Assumptions!$B$3,"Pre-Q4",IF(J373&lt;=Assumptions!$B$4,"Q4 2025","Deferred Q1 2026")))</f>
        <v>Q4 2025</v>
      </c>
    </row>
    <row r="374" spans="1:12" ht="15" customHeight="1" x14ac:dyDescent="0.2">
      <c r="A374" s="14" t="s">
        <v>956</v>
      </c>
      <c r="B374" s="14" t="s">
        <v>957</v>
      </c>
      <c r="C374" s="18">
        <v>46021</v>
      </c>
      <c r="D374" s="18">
        <v>46024</v>
      </c>
      <c r="E374" s="14">
        <v>1178</v>
      </c>
      <c r="F374" s="14" t="s">
        <v>292</v>
      </c>
      <c r="G374" s="14" t="s">
        <v>293</v>
      </c>
      <c r="H374" s="15">
        <f>IFERROR(VLOOKUP(B374,Orders!$A:$I,6,0),"")</f>
        <v>499.98</v>
      </c>
      <c r="I374" s="14" t="str">
        <f>IFERROR(VLOOKUP(B374,Orders!$A:$I,8,0),"")</f>
        <v>FOB Shipping Point</v>
      </c>
      <c r="J374" s="16">
        <f t="shared" si="13"/>
        <v>46021</v>
      </c>
      <c r="K374" s="15">
        <f t="shared" si="12"/>
        <v>588976.44000000006</v>
      </c>
      <c r="L374" s="14" t="str">
        <f>IF(H374="","Excluded - no order",IF(J374&lt;Assumptions!$B$3,"Pre-Q4",IF(J374&lt;=Assumptions!$B$4,"Q4 2025","Deferred Q1 2026")))</f>
        <v>Q4 2025</v>
      </c>
    </row>
    <row r="375" spans="1:12" ht="15" customHeight="1" x14ac:dyDescent="0.2">
      <c r="A375" s="14" t="s">
        <v>958</v>
      </c>
      <c r="B375" s="14" t="s">
        <v>957</v>
      </c>
      <c r="C375" s="18">
        <v>46031</v>
      </c>
      <c r="D375" s="18">
        <v>46037</v>
      </c>
      <c r="E375" s="14">
        <v>629</v>
      </c>
      <c r="F375" s="14" t="s">
        <v>302</v>
      </c>
      <c r="G375" s="14" t="s">
        <v>303</v>
      </c>
      <c r="H375" s="15">
        <f>IFERROR(VLOOKUP(B375,Orders!$A:$I,6,0),"")</f>
        <v>499.98</v>
      </c>
      <c r="I375" s="14" t="str">
        <f>IFERROR(VLOOKUP(B375,Orders!$A:$I,8,0),"")</f>
        <v>FOB Shipping Point</v>
      </c>
      <c r="J375" s="16">
        <f t="shared" si="13"/>
        <v>46031</v>
      </c>
      <c r="K375" s="15">
        <f t="shared" si="12"/>
        <v>314487.42</v>
      </c>
      <c r="L375" s="14" t="str">
        <f>IF(H375="","Excluded - no order",IF(J375&lt;Assumptions!$B$3,"Pre-Q4",IF(J375&lt;=Assumptions!$B$4,"Q4 2025","Deferred Q1 2026")))</f>
        <v>Deferred Q1 2026</v>
      </c>
    </row>
    <row r="376" spans="1:12" ht="15" customHeight="1" x14ac:dyDescent="0.2">
      <c r="A376" s="14" t="s">
        <v>959</v>
      </c>
      <c r="B376" s="14" t="s">
        <v>960</v>
      </c>
      <c r="C376" s="18">
        <v>45963</v>
      </c>
      <c r="D376" s="18">
        <v>45969</v>
      </c>
      <c r="E376" s="14">
        <v>1262</v>
      </c>
      <c r="F376" s="14" t="s">
        <v>77</v>
      </c>
      <c r="G376" s="14" t="s">
        <v>78</v>
      </c>
      <c r="H376" s="15">
        <f>IFERROR(VLOOKUP(B376,Orders!$A:$I,6,0),"")</f>
        <v>377.01</v>
      </c>
      <c r="I376" s="14" t="str">
        <f>IFERROR(VLOOKUP(B376,Orders!$A:$I,8,0),"")</f>
        <v>FOB Shipping Point</v>
      </c>
      <c r="J376" s="16">
        <f t="shared" si="13"/>
        <v>45963</v>
      </c>
      <c r="K376" s="15">
        <f t="shared" si="12"/>
        <v>475786.62</v>
      </c>
      <c r="L376" s="14" t="str">
        <f>IF(H376="","Excluded - no order",IF(J376&lt;Assumptions!$B$3,"Pre-Q4",IF(J376&lt;=Assumptions!$B$4,"Q4 2025","Deferred Q1 2026")))</f>
        <v>Q4 2025</v>
      </c>
    </row>
    <row r="377" spans="1:12" ht="15" customHeight="1" x14ac:dyDescent="0.2">
      <c r="A377" s="14" t="s">
        <v>961</v>
      </c>
      <c r="B377" s="14" t="s">
        <v>962</v>
      </c>
      <c r="C377" s="18">
        <v>45978</v>
      </c>
      <c r="D377" s="18">
        <v>45982</v>
      </c>
      <c r="E377" s="14">
        <v>935</v>
      </c>
      <c r="F377" s="14" t="s">
        <v>309</v>
      </c>
      <c r="G377" s="14" t="s">
        <v>310</v>
      </c>
      <c r="H377" s="15">
        <f>IFERROR(VLOOKUP(B377,Orders!$A:$I,6,0),"")</f>
        <v>403.54</v>
      </c>
      <c r="I377" s="14" t="str">
        <f>IFERROR(VLOOKUP(B377,Orders!$A:$I,8,0),"")</f>
        <v>FOB Destination</v>
      </c>
      <c r="J377" s="16">
        <f t="shared" si="13"/>
        <v>45982</v>
      </c>
      <c r="K377" s="15">
        <f t="shared" si="12"/>
        <v>377309.9</v>
      </c>
      <c r="L377" s="14" t="str">
        <f>IF(H377="","Excluded - no order",IF(J377&lt;Assumptions!$B$3,"Pre-Q4",IF(J377&lt;=Assumptions!$B$4,"Q4 2025","Deferred Q1 2026")))</f>
        <v>Q4 2025</v>
      </c>
    </row>
    <row r="378" spans="1:12" ht="15" customHeight="1" x14ac:dyDescent="0.2">
      <c r="A378" s="14" t="s">
        <v>963</v>
      </c>
      <c r="B378" s="14" t="s">
        <v>962</v>
      </c>
      <c r="C378" s="18">
        <v>45980</v>
      </c>
      <c r="D378" s="18">
        <v>45984</v>
      </c>
      <c r="E378" s="14">
        <v>1057</v>
      </c>
      <c r="F378" s="14" t="s">
        <v>354</v>
      </c>
      <c r="G378" s="14" t="s">
        <v>355</v>
      </c>
      <c r="H378" s="15">
        <f>IFERROR(VLOOKUP(B378,Orders!$A:$I,6,0),"")</f>
        <v>403.54</v>
      </c>
      <c r="I378" s="14" t="str">
        <f>IFERROR(VLOOKUP(B378,Orders!$A:$I,8,0),"")</f>
        <v>FOB Destination</v>
      </c>
      <c r="J378" s="16">
        <f t="shared" si="13"/>
        <v>45984</v>
      </c>
      <c r="K378" s="15">
        <f t="shared" si="12"/>
        <v>426541.78</v>
      </c>
      <c r="L378" s="14" t="str">
        <f>IF(H378="","Excluded - no order",IF(J378&lt;Assumptions!$B$3,"Pre-Q4",IF(J378&lt;=Assumptions!$B$4,"Q4 2025","Deferred Q1 2026")))</f>
        <v>Q4 2025</v>
      </c>
    </row>
    <row r="379" spans="1:12" ht="15" customHeight="1" x14ac:dyDescent="0.2">
      <c r="A379" s="14" t="s">
        <v>964</v>
      </c>
      <c r="B379" s="14" t="s">
        <v>965</v>
      </c>
      <c r="C379" s="18">
        <v>46010</v>
      </c>
      <c r="D379" s="18">
        <v>46016</v>
      </c>
      <c r="E379" s="14">
        <v>1814</v>
      </c>
      <c r="F379" s="14" t="s">
        <v>966</v>
      </c>
      <c r="G379" s="14" t="s">
        <v>967</v>
      </c>
      <c r="H379" s="15">
        <f>IFERROR(VLOOKUP(B379,Orders!$A:$I,6,0),"")</f>
        <v>364.19</v>
      </c>
      <c r="I379" s="14" t="str">
        <f>IFERROR(VLOOKUP(B379,Orders!$A:$I,8,0),"")</f>
        <v>FOB Destination</v>
      </c>
      <c r="J379" s="16">
        <f t="shared" si="13"/>
        <v>46016</v>
      </c>
      <c r="K379" s="15">
        <f t="shared" si="12"/>
        <v>660640.66</v>
      </c>
      <c r="L379" s="14" t="str">
        <f>IF(H379="","Excluded - no order",IF(J379&lt;Assumptions!$B$3,"Pre-Q4",IF(J379&lt;=Assumptions!$B$4,"Q4 2025","Deferred Q1 2026")))</f>
        <v>Q4 2025</v>
      </c>
    </row>
    <row r="380" spans="1:12" ht="15" customHeight="1" x14ac:dyDescent="0.2">
      <c r="A380" s="14" t="s">
        <v>968</v>
      </c>
      <c r="B380" s="14" t="s">
        <v>969</v>
      </c>
      <c r="C380" s="18">
        <v>45935</v>
      </c>
      <c r="D380" s="18">
        <v>45936</v>
      </c>
      <c r="E380" s="14">
        <v>1300</v>
      </c>
      <c r="F380" s="14" t="s">
        <v>970</v>
      </c>
      <c r="G380" s="14" t="s">
        <v>971</v>
      </c>
      <c r="H380" s="15">
        <f>IFERROR(VLOOKUP(B380,Orders!$A:$I,6,0),"")</f>
        <v>95.08</v>
      </c>
      <c r="I380" s="14" t="str">
        <f>IFERROR(VLOOKUP(B380,Orders!$A:$I,8,0),"")</f>
        <v>FOB Destination</v>
      </c>
      <c r="J380" s="16">
        <f t="shared" si="13"/>
        <v>45936</v>
      </c>
      <c r="K380" s="15">
        <f t="shared" si="12"/>
        <v>123604</v>
      </c>
      <c r="L380" s="14" t="str">
        <f>IF(H380="","Excluded - no order",IF(J380&lt;Assumptions!$B$3,"Pre-Q4",IF(J380&lt;=Assumptions!$B$4,"Q4 2025","Deferred Q1 2026")))</f>
        <v>Q4 2025</v>
      </c>
    </row>
    <row r="381" spans="1:12" ht="15" customHeight="1" x14ac:dyDescent="0.2">
      <c r="A381" s="14" t="s">
        <v>972</v>
      </c>
      <c r="B381" s="14" t="s">
        <v>973</v>
      </c>
      <c r="C381" s="18">
        <v>45983</v>
      </c>
      <c r="D381" s="18">
        <v>45989</v>
      </c>
      <c r="E381" s="14">
        <v>1689</v>
      </c>
      <c r="F381" s="14" t="s">
        <v>974</v>
      </c>
      <c r="G381" s="14" t="s">
        <v>975</v>
      </c>
      <c r="H381" s="15">
        <f>IFERROR(VLOOKUP(B381,Orders!$A:$I,6,0),"")</f>
        <v>78.14</v>
      </c>
      <c r="I381" s="14" t="str">
        <f>IFERROR(VLOOKUP(B381,Orders!$A:$I,8,0),"")</f>
        <v>FOB Destination</v>
      </c>
      <c r="J381" s="16">
        <f t="shared" si="13"/>
        <v>45989</v>
      </c>
      <c r="K381" s="15">
        <f t="shared" si="12"/>
        <v>131978.46</v>
      </c>
      <c r="L381" s="14" t="str">
        <f>IF(H381="","Excluded - no order",IF(J381&lt;Assumptions!$B$3,"Pre-Q4",IF(J381&lt;=Assumptions!$B$4,"Q4 2025","Deferred Q1 2026")))</f>
        <v>Q4 2025</v>
      </c>
    </row>
    <row r="382" spans="1:12" ht="15" customHeight="1" x14ac:dyDescent="0.2">
      <c r="A382" s="14" t="s">
        <v>976</v>
      </c>
      <c r="B382" s="14" t="s">
        <v>977</v>
      </c>
      <c r="C382" s="18">
        <v>45955</v>
      </c>
      <c r="D382" s="18">
        <v>45961</v>
      </c>
      <c r="E382" s="14">
        <v>195</v>
      </c>
      <c r="F382" s="14" t="s">
        <v>77</v>
      </c>
      <c r="G382" s="14" t="s">
        <v>78</v>
      </c>
      <c r="H382" s="15">
        <f>IFERROR(VLOOKUP(B382,Orders!$A:$I,6,0),"")</f>
        <v>233.73</v>
      </c>
      <c r="I382" s="14" t="str">
        <f>IFERROR(VLOOKUP(B382,Orders!$A:$I,8,0),"")</f>
        <v>FOB Shipping Point</v>
      </c>
      <c r="J382" s="16">
        <f t="shared" si="13"/>
        <v>45955</v>
      </c>
      <c r="K382" s="15">
        <f t="shared" si="12"/>
        <v>45577.35</v>
      </c>
      <c r="L382" s="14" t="str">
        <f>IF(H382="","Excluded - no order",IF(J382&lt;Assumptions!$B$3,"Pre-Q4",IF(J382&lt;=Assumptions!$B$4,"Q4 2025","Deferred Q1 2026")))</f>
        <v>Q4 2025</v>
      </c>
    </row>
    <row r="383" spans="1:12" ht="15" customHeight="1" x14ac:dyDescent="0.2">
      <c r="A383" s="14" t="s">
        <v>978</v>
      </c>
      <c r="B383" s="14" t="s">
        <v>979</v>
      </c>
      <c r="C383" s="18">
        <v>45961</v>
      </c>
      <c r="D383" s="18">
        <v>45965</v>
      </c>
      <c r="E383" s="14">
        <v>925</v>
      </c>
      <c r="F383" s="14" t="s">
        <v>980</v>
      </c>
      <c r="G383" s="14" t="s">
        <v>981</v>
      </c>
      <c r="H383" s="15">
        <f>IFERROR(VLOOKUP(B383,Orders!$A:$I,6,0),"")</f>
        <v>58.78</v>
      </c>
      <c r="I383" s="14" t="str">
        <f>IFERROR(VLOOKUP(B383,Orders!$A:$I,8,0),"")</f>
        <v>FOB Shipping Point</v>
      </c>
      <c r="J383" s="16">
        <f t="shared" si="13"/>
        <v>45961</v>
      </c>
      <c r="K383" s="15">
        <f t="shared" si="12"/>
        <v>54371.5</v>
      </c>
      <c r="L383" s="14" t="str">
        <f>IF(H383="","Excluded - no order",IF(J383&lt;Assumptions!$B$3,"Pre-Q4",IF(J383&lt;=Assumptions!$B$4,"Q4 2025","Deferred Q1 2026")))</f>
        <v>Q4 2025</v>
      </c>
    </row>
    <row r="384" spans="1:12" ht="15" customHeight="1" x14ac:dyDescent="0.2">
      <c r="A384" s="14" t="s">
        <v>982</v>
      </c>
      <c r="B384" s="14" t="s">
        <v>983</v>
      </c>
      <c r="C384" s="18">
        <v>46015</v>
      </c>
      <c r="D384" s="18">
        <v>46020</v>
      </c>
      <c r="E384" s="14">
        <v>468</v>
      </c>
      <c r="F384" s="14" t="s">
        <v>364</v>
      </c>
      <c r="G384" s="14" t="s">
        <v>365</v>
      </c>
      <c r="H384" s="15">
        <f>IFERROR(VLOOKUP(B384,Orders!$A:$I,6,0),"")</f>
        <v>86.68</v>
      </c>
      <c r="I384" s="14" t="str">
        <f>IFERROR(VLOOKUP(B384,Orders!$A:$I,8,0),"")</f>
        <v>FOB Destination</v>
      </c>
      <c r="J384" s="16">
        <f t="shared" si="13"/>
        <v>46020</v>
      </c>
      <c r="K384" s="15">
        <f t="shared" si="12"/>
        <v>40566.240000000005</v>
      </c>
      <c r="L384" s="14" t="str">
        <f>IF(H384="","Excluded - no order",IF(J384&lt;Assumptions!$B$3,"Pre-Q4",IF(J384&lt;=Assumptions!$B$4,"Q4 2025","Deferred Q1 2026")))</f>
        <v>Q4 2025</v>
      </c>
    </row>
    <row r="385" spans="1:12" ht="15" customHeight="1" x14ac:dyDescent="0.2">
      <c r="A385" s="14" t="s">
        <v>984</v>
      </c>
      <c r="B385" s="14" t="s">
        <v>985</v>
      </c>
      <c r="C385" s="18">
        <v>45975</v>
      </c>
      <c r="D385" s="18">
        <v>45978</v>
      </c>
      <c r="E385" s="14">
        <v>1486</v>
      </c>
      <c r="F385" s="14" t="s">
        <v>149</v>
      </c>
      <c r="G385" s="14" t="s">
        <v>150</v>
      </c>
      <c r="H385" s="15">
        <f>IFERROR(VLOOKUP(B385,Orders!$A:$I,6,0),"")</f>
        <v>174.47</v>
      </c>
      <c r="I385" s="14" t="str">
        <f>IFERROR(VLOOKUP(B385,Orders!$A:$I,8,0),"")</f>
        <v>FOB Destination</v>
      </c>
      <c r="J385" s="16">
        <f t="shared" si="13"/>
        <v>45978</v>
      </c>
      <c r="K385" s="15">
        <f t="shared" si="12"/>
        <v>259262.42</v>
      </c>
      <c r="L385" s="14" t="str">
        <f>IF(H385="","Excluded - no order",IF(J385&lt;Assumptions!$B$3,"Pre-Q4",IF(J385&lt;=Assumptions!$B$4,"Q4 2025","Deferred Q1 2026")))</f>
        <v>Q4 2025</v>
      </c>
    </row>
    <row r="386" spans="1:12" ht="15" customHeight="1" x14ac:dyDescent="0.2">
      <c r="A386" s="14" t="s">
        <v>986</v>
      </c>
      <c r="B386" s="14" t="s">
        <v>987</v>
      </c>
      <c r="C386" s="18">
        <v>45986</v>
      </c>
      <c r="D386" s="18">
        <v>45989</v>
      </c>
      <c r="E386" s="14">
        <v>902</v>
      </c>
      <c r="F386" s="14" t="s">
        <v>382</v>
      </c>
      <c r="G386" s="14" t="s">
        <v>383</v>
      </c>
      <c r="H386" s="15">
        <f>IFERROR(VLOOKUP(B386,Orders!$A:$I,6,0),"")</f>
        <v>283.20999999999998</v>
      </c>
      <c r="I386" s="14" t="str">
        <f>IFERROR(VLOOKUP(B386,Orders!$A:$I,8,0),"")</f>
        <v>FOB Shipping Point</v>
      </c>
      <c r="J386" s="16">
        <f t="shared" si="13"/>
        <v>45986</v>
      </c>
      <c r="K386" s="15">
        <f t="shared" ref="K386:K449" si="14">IF(H386="",0,E386*H386)</f>
        <v>255455.41999999998</v>
      </c>
      <c r="L386" s="14" t="str">
        <f>IF(H386="","Excluded - no order",IF(J386&lt;Assumptions!$B$3,"Pre-Q4",IF(J386&lt;=Assumptions!$B$4,"Q4 2025","Deferred Q1 2026")))</f>
        <v>Q4 2025</v>
      </c>
    </row>
    <row r="387" spans="1:12" ht="15" customHeight="1" x14ac:dyDescent="0.2">
      <c r="A387" s="14" t="s">
        <v>988</v>
      </c>
      <c r="B387" s="14" t="s">
        <v>987</v>
      </c>
      <c r="C387" s="18">
        <v>45988</v>
      </c>
      <c r="D387" s="18">
        <v>45991</v>
      </c>
      <c r="E387" s="14">
        <v>539</v>
      </c>
      <c r="F387" s="14" t="s">
        <v>385</v>
      </c>
      <c r="G387" s="14" t="s">
        <v>386</v>
      </c>
      <c r="H387" s="15">
        <f>IFERROR(VLOOKUP(B387,Orders!$A:$I,6,0),"")</f>
        <v>283.20999999999998</v>
      </c>
      <c r="I387" s="14" t="str">
        <f>IFERROR(VLOOKUP(B387,Orders!$A:$I,8,0),"")</f>
        <v>FOB Shipping Point</v>
      </c>
      <c r="J387" s="16">
        <f t="shared" si="13"/>
        <v>45988</v>
      </c>
      <c r="K387" s="15">
        <f t="shared" si="14"/>
        <v>152650.19</v>
      </c>
      <c r="L387" s="14" t="str">
        <f>IF(H387="","Excluded - no order",IF(J387&lt;Assumptions!$B$3,"Pre-Q4",IF(J387&lt;=Assumptions!$B$4,"Q4 2025","Deferred Q1 2026")))</f>
        <v>Q4 2025</v>
      </c>
    </row>
    <row r="388" spans="1:12" ht="15" customHeight="1" x14ac:dyDescent="0.2">
      <c r="A388" s="14" t="s">
        <v>989</v>
      </c>
      <c r="B388" s="14" t="s">
        <v>990</v>
      </c>
      <c r="C388" s="18">
        <v>45958</v>
      </c>
      <c r="D388" s="18">
        <v>45962</v>
      </c>
      <c r="E388" s="14">
        <v>1839</v>
      </c>
      <c r="F388" s="14" t="s">
        <v>319</v>
      </c>
      <c r="G388" s="14" t="s">
        <v>320</v>
      </c>
      <c r="H388" s="15">
        <f>IFERROR(VLOOKUP(B388,Orders!$A:$I,6,0),"")</f>
        <v>287.3</v>
      </c>
      <c r="I388" s="14" t="str">
        <f>IFERROR(VLOOKUP(B388,Orders!$A:$I,8,0),"")</f>
        <v>FOB Shipping Point</v>
      </c>
      <c r="J388" s="16">
        <f t="shared" si="13"/>
        <v>45958</v>
      </c>
      <c r="K388" s="15">
        <f t="shared" si="14"/>
        <v>528344.70000000007</v>
      </c>
      <c r="L388" s="14" t="str">
        <f>IF(H388="","Excluded - no order",IF(J388&lt;Assumptions!$B$3,"Pre-Q4",IF(J388&lt;=Assumptions!$B$4,"Q4 2025","Deferred Q1 2026")))</f>
        <v>Q4 2025</v>
      </c>
    </row>
    <row r="389" spans="1:12" ht="15" customHeight="1" x14ac:dyDescent="0.2">
      <c r="A389" s="14" t="s">
        <v>991</v>
      </c>
      <c r="B389" s="14" t="s">
        <v>992</v>
      </c>
      <c r="C389" s="18">
        <v>46000</v>
      </c>
      <c r="D389" s="18">
        <v>46006</v>
      </c>
      <c r="E389" s="14">
        <v>1740</v>
      </c>
      <c r="F389" s="14" t="s">
        <v>73</v>
      </c>
      <c r="G389" s="14" t="s">
        <v>74</v>
      </c>
      <c r="H389" s="15">
        <f>IFERROR(VLOOKUP(B389,Orders!$A:$I,6,0),"")</f>
        <v>21.71</v>
      </c>
      <c r="I389" s="14" t="str">
        <f>IFERROR(VLOOKUP(B389,Orders!$A:$I,8,0),"")</f>
        <v>FOB Shipping Point</v>
      </c>
      <c r="J389" s="16">
        <f t="shared" si="13"/>
        <v>46000</v>
      </c>
      <c r="K389" s="15">
        <f t="shared" si="14"/>
        <v>37775.4</v>
      </c>
      <c r="L389" s="14" t="str">
        <f>IF(H389="","Excluded - no order",IF(J389&lt;Assumptions!$B$3,"Pre-Q4",IF(J389&lt;=Assumptions!$B$4,"Q4 2025","Deferred Q1 2026")))</f>
        <v>Q4 2025</v>
      </c>
    </row>
    <row r="390" spans="1:12" ht="15" customHeight="1" x14ac:dyDescent="0.2">
      <c r="A390" s="14" t="s">
        <v>993</v>
      </c>
      <c r="B390" s="14" t="s">
        <v>994</v>
      </c>
      <c r="C390" s="18">
        <v>45965</v>
      </c>
      <c r="D390" s="18">
        <v>45971</v>
      </c>
      <c r="E390" s="14">
        <v>731</v>
      </c>
      <c r="F390" s="14" t="s">
        <v>100</v>
      </c>
      <c r="G390" s="14" t="s">
        <v>101</v>
      </c>
      <c r="H390" s="15">
        <f>IFERROR(VLOOKUP(B390,Orders!$A:$I,6,0),"")</f>
        <v>455.96</v>
      </c>
      <c r="I390" s="14" t="str">
        <f>IFERROR(VLOOKUP(B390,Orders!$A:$I,8,0),"")</f>
        <v>FOB Shipping Point</v>
      </c>
      <c r="J390" s="16">
        <f t="shared" si="13"/>
        <v>45965</v>
      </c>
      <c r="K390" s="15">
        <f t="shared" si="14"/>
        <v>333306.76</v>
      </c>
      <c r="L390" s="14" t="str">
        <f>IF(H390="","Excluded - no order",IF(J390&lt;Assumptions!$B$3,"Pre-Q4",IF(J390&lt;=Assumptions!$B$4,"Q4 2025","Deferred Q1 2026")))</f>
        <v>Q4 2025</v>
      </c>
    </row>
    <row r="391" spans="1:12" ht="15" customHeight="1" x14ac:dyDescent="0.2">
      <c r="A391" s="14" t="s">
        <v>995</v>
      </c>
      <c r="B391" s="14" t="s">
        <v>994</v>
      </c>
      <c r="C391" s="18">
        <v>45967</v>
      </c>
      <c r="D391" s="18">
        <v>45973</v>
      </c>
      <c r="E391" s="14">
        <v>329</v>
      </c>
      <c r="F391" s="14" t="s">
        <v>112</v>
      </c>
      <c r="G391" s="14" t="s">
        <v>113</v>
      </c>
      <c r="H391" s="15">
        <f>IFERROR(VLOOKUP(B391,Orders!$A:$I,6,0),"")</f>
        <v>455.96</v>
      </c>
      <c r="I391" s="14" t="str">
        <f>IFERROR(VLOOKUP(B391,Orders!$A:$I,8,0),"")</f>
        <v>FOB Shipping Point</v>
      </c>
      <c r="J391" s="16">
        <f t="shared" ref="J391:J454" si="15">IF(I391="","",IF(I391="FOB Shipping Point",C391,D391))</f>
        <v>45967</v>
      </c>
      <c r="K391" s="15">
        <f t="shared" si="14"/>
        <v>150010.84</v>
      </c>
      <c r="L391" s="14" t="str">
        <f>IF(H391="","Excluded - no order",IF(J391&lt;Assumptions!$B$3,"Pre-Q4",IF(J391&lt;=Assumptions!$B$4,"Q4 2025","Deferred Q1 2026")))</f>
        <v>Q4 2025</v>
      </c>
    </row>
    <row r="392" spans="1:12" ht="15" customHeight="1" x14ac:dyDescent="0.2">
      <c r="A392" s="14" t="s">
        <v>996</v>
      </c>
      <c r="B392" s="14" t="s">
        <v>997</v>
      </c>
      <c r="C392" s="18">
        <v>46008</v>
      </c>
      <c r="D392" s="18">
        <v>46011</v>
      </c>
      <c r="E392" s="14">
        <v>1490</v>
      </c>
      <c r="F392" s="14" t="s">
        <v>118</v>
      </c>
      <c r="G392" s="14" t="s">
        <v>119</v>
      </c>
      <c r="H392" s="15">
        <f>IFERROR(VLOOKUP(B392,Orders!$A:$I,6,0),"")</f>
        <v>66.58</v>
      </c>
      <c r="I392" s="14" t="str">
        <f>IFERROR(VLOOKUP(B392,Orders!$A:$I,8,0),"")</f>
        <v>FOB Shipping Point</v>
      </c>
      <c r="J392" s="16">
        <f t="shared" si="15"/>
        <v>46008</v>
      </c>
      <c r="K392" s="15">
        <f t="shared" si="14"/>
        <v>99204.2</v>
      </c>
      <c r="L392" s="14" t="str">
        <f>IF(H392="","Excluded - no order",IF(J392&lt;Assumptions!$B$3,"Pre-Q4",IF(J392&lt;=Assumptions!$B$4,"Q4 2025","Deferred Q1 2026")))</f>
        <v>Q4 2025</v>
      </c>
    </row>
    <row r="393" spans="1:12" ht="15" customHeight="1" x14ac:dyDescent="0.2">
      <c r="A393" s="14" t="s">
        <v>998</v>
      </c>
      <c r="B393" s="14" t="s">
        <v>999</v>
      </c>
      <c r="C393" s="18">
        <v>46022</v>
      </c>
      <c r="D393" s="18">
        <v>46024</v>
      </c>
      <c r="E393" s="14">
        <v>1059</v>
      </c>
      <c r="F393" s="14" t="s">
        <v>410</v>
      </c>
      <c r="G393" s="14" t="s">
        <v>411</v>
      </c>
      <c r="H393" s="15">
        <f>IFERROR(VLOOKUP(B393,Orders!$A:$I,6,0),"")</f>
        <v>263.7</v>
      </c>
      <c r="I393" s="14" t="str">
        <f>IFERROR(VLOOKUP(B393,Orders!$A:$I,8,0),"")</f>
        <v>FOB Destination</v>
      </c>
      <c r="J393" s="16">
        <f t="shared" si="15"/>
        <v>46024</v>
      </c>
      <c r="K393" s="15">
        <f t="shared" si="14"/>
        <v>279258.3</v>
      </c>
      <c r="L393" s="14" t="str">
        <f>IF(H393="","Excluded - no order",IF(J393&lt;Assumptions!$B$3,"Pre-Q4",IF(J393&lt;=Assumptions!$B$4,"Q4 2025","Deferred Q1 2026")))</f>
        <v>Deferred Q1 2026</v>
      </c>
    </row>
    <row r="394" spans="1:12" ht="15" customHeight="1" x14ac:dyDescent="0.2">
      <c r="A394" s="14" t="s">
        <v>1000</v>
      </c>
      <c r="B394" s="14" t="s">
        <v>1001</v>
      </c>
      <c r="C394" s="18">
        <v>45990</v>
      </c>
      <c r="D394" s="18">
        <v>45996</v>
      </c>
      <c r="E394" s="14">
        <v>1366</v>
      </c>
      <c r="F394" s="14" t="s">
        <v>73</v>
      </c>
      <c r="G394" s="14" t="s">
        <v>74</v>
      </c>
      <c r="H394" s="15">
        <f>IFERROR(VLOOKUP(B394,Orders!$A:$I,6,0),"")</f>
        <v>477.85</v>
      </c>
      <c r="I394" s="14" t="str">
        <f>IFERROR(VLOOKUP(B394,Orders!$A:$I,8,0),"")</f>
        <v>FOB Shipping Point</v>
      </c>
      <c r="J394" s="16">
        <f t="shared" si="15"/>
        <v>45990</v>
      </c>
      <c r="K394" s="15">
        <f t="shared" si="14"/>
        <v>652743.1</v>
      </c>
      <c r="L394" s="14" t="str">
        <f>IF(H394="","Excluded - no order",IF(J394&lt;Assumptions!$B$3,"Pre-Q4",IF(J394&lt;=Assumptions!$B$4,"Q4 2025","Deferred Q1 2026")))</f>
        <v>Q4 2025</v>
      </c>
    </row>
    <row r="395" spans="1:12" ht="15" customHeight="1" x14ac:dyDescent="0.2">
      <c r="A395" s="14" t="s">
        <v>1002</v>
      </c>
      <c r="B395" s="14" t="s">
        <v>1003</v>
      </c>
      <c r="C395" s="18">
        <v>46009</v>
      </c>
      <c r="D395" s="18">
        <v>46015</v>
      </c>
      <c r="E395" s="14">
        <v>522</v>
      </c>
      <c r="F395" s="14" t="s">
        <v>112</v>
      </c>
      <c r="G395" s="14" t="s">
        <v>113</v>
      </c>
      <c r="H395" s="15">
        <f>IFERROR(VLOOKUP(B395,Orders!$A:$I,6,0),"")</f>
        <v>156.86000000000001</v>
      </c>
      <c r="I395" s="14" t="str">
        <f>IFERROR(VLOOKUP(B395,Orders!$A:$I,8,0),"")</f>
        <v>FOB Shipping Point</v>
      </c>
      <c r="J395" s="16">
        <f t="shared" si="15"/>
        <v>46009</v>
      </c>
      <c r="K395" s="15">
        <f t="shared" si="14"/>
        <v>81880.920000000013</v>
      </c>
      <c r="L395" s="14" t="str">
        <f>IF(H395="","Excluded - no order",IF(J395&lt;Assumptions!$B$3,"Pre-Q4",IF(J395&lt;=Assumptions!$B$4,"Q4 2025","Deferred Q1 2026")))</f>
        <v>Q4 2025</v>
      </c>
    </row>
    <row r="396" spans="1:12" ht="15" customHeight="1" x14ac:dyDescent="0.2">
      <c r="A396" s="14" t="s">
        <v>1004</v>
      </c>
      <c r="B396" s="14" t="s">
        <v>1003</v>
      </c>
      <c r="C396" s="18">
        <v>46011</v>
      </c>
      <c r="D396" s="18">
        <v>46017</v>
      </c>
      <c r="E396" s="14">
        <v>551</v>
      </c>
      <c r="F396" s="14" t="s">
        <v>118</v>
      </c>
      <c r="G396" s="14" t="s">
        <v>119</v>
      </c>
      <c r="H396" s="15">
        <f>IFERROR(VLOOKUP(B396,Orders!$A:$I,6,0),"")</f>
        <v>156.86000000000001</v>
      </c>
      <c r="I396" s="14" t="str">
        <f>IFERROR(VLOOKUP(B396,Orders!$A:$I,8,0),"")</f>
        <v>FOB Shipping Point</v>
      </c>
      <c r="J396" s="16">
        <f t="shared" si="15"/>
        <v>46011</v>
      </c>
      <c r="K396" s="15">
        <f t="shared" si="14"/>
        <v>86429.86</v>
      </c>
      <c r="L396" s="14" t="str">
        <f>IF(H396="","Excluded - no order",IF(J396&lt;Assumptions!$B$3,"Pre-Q4",IF(J396&lt;=Assumptions!$B$4,"Q4 2025","Deferred Q1 2026")))</f>
        <v>Q4 2025</v>
      </c>
    </row>
    <row r="397" spans="1:12" ht="15" customHeight="1" x14ac:dyDescent="0.2">
      <c r="A397" s="14" t="s">
        <v>1005</v>
      </c>
      <c r="B397" s="14" t="s">
        <v>1006</v>
      </c>
      <c r="C397" s="18">
        <v>45962</v>
      </c>
      <c r="D397" s="18">
        <v>45964</v>
      </c>
      <c r="E397" s="14">
        <v>1246</v>
      </c>
      <c r="F397" s="14" t="s">
        <v>414</v>
      </c>
      <c r="G397" s="14" t="s">
        <v>415</v>
      </c>
      <c r="H397" s="15">
        <f>IFERROR(VLOOKUP(B397,Orders!$A:$I,6,0),"")</f>
        <v>337.08</v>
      </c>
      <c r="I397" s="14" t="str">
        <f>IFERROR(VLOOKUP(B397,Orders!$A:$I,8,0),"")</f>
        <v>FOB Shipping Point</v>
      </c>
      <c r="J397" s="16">
        <f t="shared" si="15"/>
        <v>45962</v>
      </c>
      <c r="K397" s="15">
        <f t="shared" si="14"/>
        <v>420001.68</v>
      </c>
      <c r="L397" s="14" t="str">
        <f>IF(H397="","Excluded - no order",IF(J397&lt;Assumptions!$B$3,"Pre-Q4",IF(J397&lt;=Assumptions!$B$4,"Q4 2025","Deferred Q1 2026")))</f>
        <v>Q4 2025</v>
      </c>
    </row>
    <row r="398" spans="1:12" ht="15" customHeight="1" x14ac:dyDescent="0.2">
      <c r="A398" s="14" t="s">
        <v>1007</v>
      </c>
      <c r="B398" s="14" t="s">
        <v>1008</v>
      </c>
      <c r="C398" s="18">
        <v>46018</v>
      </c>
      <c r="D398" s="18">
        <v>46021</v>
      </c>
      <c r="E398" s="14">
        <v>414</v>
      </c>
      <c r="F398" s="14" t="s">
        <v>77</v>
      </c>
      <c r="G398" s="14" t="s">
        <v>78</v>
      </c>
      <c r="H398" s="15">
        <f>IFERROR(VLOOKUP(B398,Orders!$A:$I,6,0),"")</f>
        <v>211.61</v>
      </c>
      <c r="I398" s="14" t="str">
        <f>IFERROR(VLOOKUP(B398,Orders!$A:$I,8,0),"")</f>
        <v>FOB Destination</v>
      </c>
      <c r="J398" s="16">
        <f t="shared" si="15"/>
        <v>46021</v>
      </c>
      <c r="K398" s="15">
        <f t="shared" si="14"/>
        <v>87606.540000000008</v>
      </c>
      <c r="L398" s="14" t="str">
        <f>IF(H398="","Excluded - no order",IF(J398&lt;Assumptions!$B$3,"Pre-Q4",IF(J398&lt;=Assumptions!$B$4,"Q4 2025","Deferred Q1 2026")))</f>
        <v>Q4 2025</v>
      </c>
    </row>
    <row r="399" spans="1:12" ht="15" customHeight="1" x14ac:dyDescent="0.2">
      <c r="A399" s="14" t="s">
        <v>1009</v>
      </c>
      <c r="B399" s="14" t="s">
        <v>1010</v>
      </c>
      <c r="C399" s="18">
        <v>45965</v>
      </c>
      <c r="D399" s="18">
        <v>45966</v>
      </c>
      <c r="E399" s="14">
        <v>278</v>
      </c>
      <c r="F399" s="14" t="s">
        <v>122</v>
      </c>
      <c r="G399" s="14" t="s">
        <v>123</v>
      </c>
      <c r="H399" s="15">
        <f>IFERROR(VLOOKUP(B399,Orders!$A:$I,6,0),"")</f>
        <v>186.23</v>
      </c>
      <c r="I399" s="14" t="str">
        <f>IFERROR(VLOOKUP(B399,Orders!$A:$I,8,0),"")</f>
        <v>FOB Destination</v>
      </c>
      <c r="J399" s="16">
        <f t="shared" si="15"/>
        <v>45966</v>
      </c>
      <c r="K399" s="15">
        <f t="shared" si="14"/>
        <v>51771.939999999995</v>
      </c>
      <c r="L399" s="14" t="str">
        <f>IF(H399="","Excluded - no order",IF(J399&lt;Assumptions!$B$3,"Pre-Q4",IF(J399&lt;=Assumptions!$B$4,"Q4 2025","Deferred Q1 2026")))</f>
        <v>Q4 2025</v>
      </c>
    </row>
    <row r="400" spans="1:12" ht="15" customHeight="1" x14ac:dyDescent="0.2">
      <c r="A400" s="14" t="s">
        <v>1011</v>
      </c>
      <c r="B400" s="14" t="s">
        <v>1012</v>
      </c>
      <c r="C400" s="18">
        <v>45978</v>
      </c>
      <c r="D400" s="18">
        <v>45982</v>
      </c>
      <c r="E400" s="14">
        <v>503</v>
      </c>
      <c r="F400" s="14" t="s">
        <v>368</v>
      </c>
      <c r="G400" s="14" t="s">
        <v>369</v>
      </c>
      <c r="H400" s="15">
        <f>IFERROR(VLOOKUP(B400,Orders!$A:$I,6,0),"")</f>
        <v>412.91</v>
      </c>
      <c r="I400" s="14" t="str">
        <f>IFERROR(VLOOKUP(B400,Orders!$A:$I,8,0),"")</f>
        <v>FOB Destination</v>
      </c>
      <c r="J400" s="16">
        <f t="shared" si="15"/>
        <v>45982</v>
      </c>
      <c r="K400" s="15">
        <f t="shared" si="14"/>
        <v>207693.73</v>
      </c>
      <c r="L400" s="14" t="str">
        <f>IF(H400="","Excluded - no order",IF(J400&lt;Assumptions!$B$3,"Pre-Q4",IF(J400&lt;=Assumptions!$B$4,"Q4 2025","Deferred Q1 2026")))</f>
        <v>Q4 2025</v>
      </c>
    </row>
    <row r="401" spans="1:12" ht="15" customHeight="1" x14ac:dyDescent="0.2">
      <c r="A401" s="14" t="s">
        <v>1013</v>
      </c>
      <c r="B401" s="14" t="s">
        <v>1012</v>
      </c>
      <c r="C401" s="18">
        <v>45980</v>
      </c>
      <c r="D401" s="18">
        <v>45984</v>
      </c>
      <c r="E401" s="14">
        <v>232</v>
      </c>
      <c r="F401" s="14" t="s">
        <v>73</v>
      </c>
      <c r="G401" s="14" t="s">
        <v>74</v>
      </c>
      <c r="H401" s="15">
        <f>IFERROR(VLOOKUP(B401,Orders!$A:$I,6,0),"")</f>
        <v>412.91</v>
      </c>
      <c r="I401" s="14" t="str">
        <f>IFERROR(VLOOKUP(B401,Orders!$A:$I,8,0),"")</f>
        <v>FOB Destination</v>
      </c>
      <c r="J401" s="16">
        <f t="shared" si="15"/>
        <v>45984</v>
      </c>
      <c r="K401" s="15">
        <f t="shared" si="14"/>
        <v>95795.12000000001</v>
      </c>
      <c r="L401" s="14" t="str">
        <f>IF(H401="","Excluded - no order",IF(J401&lt;Assumptions!$B$3,"Pre-Q4",IF(J401&lt;=Assumptions!$B$4,"Q4 2025","Deferred Q1 2026")))</f>
        <v>Q4 2025</v>
      </c>
    </row>
    <row r="402" spans="1:12" ht="15" customHeight="1" x14ac:dyDescent="0.2">
      <c r="A402" s="14" t="s">
        <v>1014</v>
      </c>
      <c r="B402" s="14" t="s">
        <v>1015</v>
      </c>
      <c r="C402" s="18">
        <v>45988</v>
      </c>
      <c r="D402" s="18">
        <v>45994</v>
      </c>
      <c r="E402" s="14">
        <v>1951</v>
      </c>
      <c r="F402" s="14" t="s">
        <v>1016</v>
      </c>
      <c r="G402" s="14" t="s">
        <v>1017</v>
      </c>
      <c r="H402" s="15">
        <f>IFERROR(VLOOKUP(B402,Orders!$A:$I,6,0),"")</f>
        <v>165.46</v>
      </c>
      <c r="I402" s="14" t="str">
        <f>IFERROR(VLOOKUP(B402,Orders!$A:$I,8,0),"")</f>
        <v>FOB Destination</v>
      </c>
      <c r="J402" s="16">
        <f t="shared" si="15"/>
        <v>45994</v>
      </c>
      <c r="K402" s="15">
        <f t="shared" si="14"/>
        <v>322812.46000000002</v>
      </c>
      <c r="L402" s="14" t="str">
        <f>IF(H402="","Excluded - no order",IF(J402&lt;Assumptions!$B$3,"Pre-Q4",IF(J402&lt;=Assumptions!$B$4,"Q4 2025","Deferred Q1 2026")))</f>
        <v>Q4 2025</v>
      </c>
    </row>
    <row r="403" spans="1:12" ht="15" customHeight="1" x14ac:dyDescent="0.2">
      <c r="A403" s="14" t="s">
        <v>1018</v>
      </c>
      <c r="B403" s="14" t="s">
        <v>1019</v>
      </c>
      <c r="C403" s="18">
        <v>45947</v>
      </c>
      <c r="D403" s="18">
        <v>45948</v>
      </c>
      <c r="E403" s="14">
        <v>611</v>
      </c>
      <c r="F403" s="14" t="s">
        <v>1020</v>
      </c>
      <c r="G403" s="14" t="s">
        <v>1021</v>
      </c>
      <c r="H403" s="15">
        <f>IFERROR(VLOOKUP(B403,Orders!$A:$I,6,0),"")</f>
        <v>207.66</v>
      </c>
      <c r="I403" s="14" t="str">
        <f>IFERROR(VLOOKUP(B403,Orders!$A:$I,8,0),"")</f>
        <v>FOB Shipping Point</v>
      </c>
      <c r="J403" s="16">
        <f t="shared" si="15"/>
        <v>45947</v>
      </c>
      <c r="K403" s="15">
        <f t="shared" si="14"/>
        <v>126880.26</v>
      </c>
      <c r="L403" s="14" t="str">
        <f>IF(H403="","Excluded - no order",IF(J403&lt;Assumptions!$B$3,"Pre-Q4",IF(J403&lt;=Assumptions!$B$4,"Q4 2025","Deferred Q1 2026")))</f>
        <v>Q4 2025</v>
      </c>
    </row>
    <row r="404" spans="1:12" ht="15" customHeight="1" x14ac:dyDescent="0.2">
      <c r="A404" s="14" t="s">
        <v>1022</v>
      </c>
      <c r="B404" s="14" t="s">
        <v>1023</v>
      </c>
      <c r="C404" s="18">
        <v>45937</v>
      </c>
      <c r="D404" s="18">
        <v>45942</v>
      </c>
      <c r="E404" s="14">
        <v>23</v>
      </c>
      <c r="F404" s="14" t="s">
        <v>100</v>
      </c>
      <c r="G404" s="14" t="s">
        <v>101</v>
      </c>
      <c r="H404" s="15">
        <f>IFERROR(VLOOKUP(B404,Orders!$A:$I,6,0),"")</f>
        <v>452.39</v>
      </c>
      <c r="I404" s="14" t="str">
        <f>IFERROR(VLOOKUP(B404,Orders!$A:$I,8,0),"")</f>
        <v>FOB Shipping Point</v>
      </c>
      <c r="J404" s="16">
        <f t="shared" si="15"/>
        <v>45937</v>
      </c>
      <c r="K404" s="15">
        <f t="shared" si="14"/>
        <v>10404.969999999999</v>
      </c>
      <c r="L404" s="14" t="str">
        <f>IF(H404="","Excluded - no order",IF(J404&lt;Assumptions!$B$3,"Pre-Q4",IF(J404&lt;=Assumptions!$B$4,"Q4 2025","Deferred Q1 2026")))</f>
        <v>Q4 2025</v>
      </c>
    </row>
    <row r="405" spans="1:12" ht="15" customHeight="1" x14ac:dyDescent="0.2">
      <c r="A405" s="14" t="s">
        <v>1024</v>
      </c>
      <c r="B405" s="14" t="s">
        <v>1025</v>
      </c>
      <c r="C405" s="18">
        <v>46022</v>
      </c>
      <c r="D405" s="18">
        <v>46027</v>
      </c>
      <c r="E405" s="14">
        <v>1417</v>
      </c>
      <c r="F405" s="14" t="s">
        <v>100</v>
      </c>
      <c r="G405" s="14" t="s">
        <v>101</v>
      </c>
      <c r="H405" s="15">
        <f>IFERROR(VLOOKUP(B405,Orders!$A:$I,6,0),"")</f>
        <v>27.45</v>
      </c>
      <c r="I405" s="14" t="str">
        <f>IFERROR(VLOOKUP(B405,Orders!$A:$I,8,0),"")</f>
        <v>FOB Shipping Point</v>
      </c>
      <c r="J405" s="16">
        <f t="shared" si="15"/>
        <v>46022</v>
      </c>
      <c r="K405" s="15">
        <f t="shared" si="14"/>
        <v>38896.65</v>
      </c>
      <c r="L405" s="14" t="str">
        <f>IF(H405="","Excluded - no order",IF(J405&lt;Assumptions!$B$3,"Pre-Q4",IF(J405&lt;=Assumptions!$B$4,"Q4 2025","Deferred Q1 2026")))</f>
        <v>Q4 2025</v>
      </c>
    </row>
    <row r="406" spans="1:12" ht="15" customHeight="1" x14ac:dyDescent="0.2">
      <c r="A406" s="14" t="s">
        <v>1026</v>
      </c>
      <c r="B406" s="14" t="s">
        <v>1027</v>
      </c>
      <c r="C406" s="18">
        <v>46010</v>
      </c>
      <c r="D406" s="18">
        <v>46013</v>
      </c>
      <c r="E406" s="14">
        <v>1848</v>
      </c>
      <c r="F406" s="14" t="s">
        <v>418</v>
      </c>
      <c r="G406" s="14" t="s">
        <v>419</v>
      </c>
      <c r="H406" s="15">
        <f>IFERROR(VLOOKUP(B406,Orders!$A:$I,6,0),"")</f>
        <v>279.02</v>
      </c>
      <c r="I406" s="14" t="str">
        <f>IFERROR(VLOOKUP(B406,Orders!$A:$I,8,0),"")</f>
        <v>FOB Destination</v>
      </c>
      <c r="J406" s="16">
        <f t="shared" si="15"/>
        <v>46013</v>
      </c>
      <c r="K406" s="15">
        <f t="shared" si="14"/>
        <v>515628.95999999996</v>
      </c>
      <c r="L406" s="14" t="str">
        <f>IF(H406="","Excluded - no order",IF(J406&lt;Assumptions!$B$3,"Pre-Q4",IF(J406&lt;=Assumptions!$B$4,"Q4 2025","Deferred Q1 2026")))</f>
        <v>Q4 2025</v>
      </c>
    </row>
    <row r="407" spans="1:12" ht="15" customHeight="1" x14ac:dyDescent="0.2">
      <c r="A407" s="14" t="s">
        <v>1028</v>
      </c>
      <c r="B407" s="14" t="s">
        <v>1029</v>
      </c>
      <c r="C407" s="18">
        <v>45962</v>
      </c>
      <c r="D407" s="18">
        <v>45966</v>
      </c>
      <c r="E407" s="14">
        <v>1287</v>
      </c>
      <c r="F407" s="14" t="s">
        <v>122</v>
      </c>
      <c r="G407" s="14" t="s">
        <v>123</v>
      </c>
      <c r="H407" s="15">
        <f>IFERROR(VLOOKUP(B407,Orders!$A:$I,6,0),"")</f>
        <v>437.53</v>
      </c>
      <c r="I407" s="14" t="str">
        <f>IFERROR(VLOOKUP(B407,Orders!$A:$I,8,0),"")</f>
        <v>FOB Shipping Point</v>
      </c>
      <c r="J407" s="16">
        <f t="shared" si="15"/>
        <v>45962</v>
      </c>
      <c r="K407" s="15">
        <f t="shared" si="14"/>
        <v>563101.11</v>
      </c>
      <c r="L407" s="14" t="str">
        <f>IF(H407="","Excluded - no order",IF(J407&lt;Assumptions!$B$3,"Pre-Q4",IF(J407&lt;=Assumptions!$B$4,"Q4 2025","Deferred Q1 2026")))</f>
        <v>Q4 2025</v>
      </c>
    </row>
    <row r="408" spans="1:12" ht="15" customHeight="1" x14ac:dyDescent="0.2">
      <c r="A408" s="14" t="s">
        <v>1030</v>
      </c>
      <c r="B408" s="14" t="s">
        <v>1031</v>
      </c>
      <c r="C408" s="18">
        <v>45948</v>
      </c>
      <c r="D408" s="18">
        <v>45950</v>
      </c>
      <c r="E408" s="14">
        <v>974</v>
      </c>
      <c r="F408" s="14" t="s">
        <v>429</v>
      </c>
      <c r="G408" s="14" t="s">
        <v>430</v>
      </c>
      <c r="H408" s="15">
        <f>IFERROR(VLOOKUP(B408,Orders!$A:$I,6,0),"")</f>
        <v>310.77</v>
      </c>
      <c r="I408" s="14" t="str">
        <f>IFERROR(VLOOKUP(B408,Orders!$A:$I,8,0),"")</f>
        <v>FOB Shipping Point</v>
      </c>
      <c r="J408" s="16">
        <f t="shared" si="15"/>
        <v>45948</v>
      </c>
      <c r="K408" s="15">
        <f t="shared" si="14"/>
        <v>302689.98</v>
      </c>
      <c r="L408" s="14" t="str">
        <f>IF(H408="","Excluded - no order",IF(J408&lt;Assumptions!$B$3,"Pre-Q4",IF(J408&lt;=Assumptions!$B$4,"Q4 2025","Deferred Q1 2026")))</f>
        <v>Q4 2025</v>
      </c>
    </row>
    <row r="409" spans="1:12" ht="15" customHeight="1" x14ac:dyDescent="0.2">
      <c r="A409" s="14" t="s">
        <v>1032</v>
      </c>
      <c r="B409" s="14" t="s">
        <v>1033</v>
      </c>
      <c r="C409" s="18">
        <v>45990</v>
      </c>
      <c r="D409" s="18">
        <v>45993</v>
      </c>
      <c r="E409" s="14">
        <v>1931</v>
      </c>
      <c r="F409" s="14" t="s">
        <v>149</v>
      </c>
      <c r="G409" s="14" t="s">
        <v>150</v>
      </c>
      <c r="H409" s="15">
        <f>IFERROR(VLOOKUP(B409,Orders!$A:$I,6,0),"")</f>
        <v>266.75</v>
      </c>
      <c r="I409" s="14" t="str">
        <f>IFERROR(VLOOKUP(B409,Orders!$A:$I,8,0),"")</f>
        <v>FOB Destination</v>
      </c>
      <c r="J409" s="16">
        <f t="shared" si="15"/>
        <v>45993</v>
      </c>
      <c r="K409" s="15">
        <f t="shared" si="14"/>
        <v>515094.25</v>
      </c>
      <c r="L409" s="14" t="str">
        <f>IF(H409="","Excluded - no order",IF(J409&lt;Assumptions!$B$3,"Pre-Q4",IF(J409&lt;=Assumptions!$B$4,"Q4 2025","Deferred Q1 2026")))</f>
        <v>Q4 2025</v>
      </c>
    </row>
    <row r="410" spans="1:12" ht="15" customHeight="1" x14ac:dyDescent="0.2">
      <c r="A410" s="14" t="s">
        <v>1034</v>
      </c>
      <c r="B410" s="14" t="s">
        <v>1035</v>
      </c>
      <c r="C410" s="18">
        <v>45952</v>
      </c>
      <c r="D410" s="18">
        <v>45958</v>
      </c>
      <c r="E410" s="14">
        <v>745</v>
      </c>
      <c r="F410" s="14" t="s">
        <v>149</v>
      </c>
      <c r="G410" s="14" t="s">
        <v>150</v>
      </c>
      <c r="H410" s="15">
        <f>IFERROR(VLOOKUP(B410,Orders!$A:$I,6,0),"")</f>
        <v>142.68</v>
      </c>
      <c r="I410" s="14" t="str">
        <f>IFERROR(VLOOKUP(B410,Orders!$A:$I,8,0),"")</f>
        <v>FOB Destination</v>
      </c>
      <c r="J410" s="16">
        <f t="shared" si="15"/>
        <v>45958</v>
      </c>
      <c r="K410" s="15">
        <f t="shared" si="14"/>
        <v>106296.6</v>
      </c>
      <c r="L410" s="14" t="str">
        <f>IF(H410="","Excluded - no order",IF(J410&lt;Assumptions!$B$3,"Pre-Q4",IF(J410&lt;=Assumptions!$B$4,"Q4 2025","Deferred Q1 2026")))</f>
        <v>Q4 2025</v>
      </c>
    </row>
    <row r="411" spans="1:12" ht="15" customHeight="1" x14ac:dyDescent="0.2">
      <c r="A411" s="14" t="s">
        <v>1036</v>
      </c>
      <c r="B411" s="14" t="s">
        <v>1037</v>
      </c>
      <c r="C411" s="18">
        <v>45999</v>
      </c>
      <c r="D411" s="18">
        <v>46004</v>
      </c>
      <c r="E411" s="14">
        <v>1017</v>
      </c>
      <c r="F411" s="14" t="s">
        <v>454</v>
      </c>
      <c r="G411" s="14" t="s">
        <v>455</v>
      </c>
      <c r="H411" s="15">
        <f>IFERROR(VLOOKUP(B411,Orders!$A:$I,6,0),"")</f>
        <v>402.9</v>
      </c>
      <c r="I411" s="14" t="str">
        <f>IFERROR(VLOOKUP(B411,Orders!$A:$I,8,0),"")</f>
        <v>FOB Shipping Point</v>
      </c>
      <c r="J411" s="16">
        <f t="shared" si="15"/>
        <v>45999</v>
      </c>
      <c r="K411" s="15">
        <f t="shared" si="14"/>
        <v>409749.3</v>
      </c>
      <c r="L411" s="14" t="str">
        <f>IF(H411="","Excluded - no order",IF(J411&lt;Assumptions!$B$3,"Pre-Q4",IF(J411&lt;=Assumptions!$B$4,"Q4 2025","Deferred Q1 2026")))</f>
        <v>Q4 2025</v>
      </c>
    </row>
    <row r="412" spans="1:12" ht="15" customHeight="1" x14ac:dyDescent="0.2">
      <c r="A412" s="14" t="s">
        <v>1038</v>
      </c>
      <c r="B412" s="14" t="s">
        <v>1039</v>
      </c>
      <c r="C412" s="18">
        <v>45985</v>
      </c>
      <c r="D412" s="18">
        <v>45989</v>
      </c>
      <c r="E412" s="14">
        <v>552</v>
      </c>
      <c r="F412" s="14" t="s">
        <v>457</v>
      </c>
      <c r="G412" s="14" t="s">
        <v>458</v>
      </c>
      <c r="H412" s="15">
        <f>IFERROR(VLOOKUP(B412,Orders!$A:$I,6,0),"")</f>
        <v>65.8</v>
      </c>
      <c r="I412" s="14" t="str">
        <f>IFERROR(VLOOKUP(B412,Orders!$A:$I,8,0),"")</f>
        <v>FOB Shipping Point</v>
      </c>
      <c r="J412" s="16">
        <f t="shared" si="15"/>
        <v>45985</v>
      </c>
      <c r="K412" s="15">
        <f t="shared" si="14"/>
        <v>36321.599999999999</v>
      </c>
      <c r="L412" s="14" t="str">
        <f>IF(H412="","Excluded - no order",IF(J412&lt;Assumptions!$B$3,"Pre-Q4",IF(J412&lt;=Assumptions!$B$4,"Q4 2025","Deferred Q1 2026")))</f>
        <v>Q4 2025</v>
      </c>
    </row>
    <row r="413" spans="1:12" ht="15" customHeight="1" x14ac:dyDescent="0.2">
      <c r="A413" s="14" t="s">
        <v>1040</v>
      </c>
      <c r="B413" s="14" t="s">
        <v>1041</v>
      </c>
      <c r="C413" s="18">
        <v>46022</v>
      </c>
      <c r="D413" s="18">
        <v>46025</v>
      </c>
      <c r="E413" s="14">
        <v>1332</v>
      </c>
      <c r="F413" s="14" t="s">
        <v>73</v>
      </c>
      <c r="G413" s="14" t="s">
        <v>74</v>
      </c>
      <c r="H413" s="15">
        <f>IFERROR(VLOOKUP(B413,Orders!$A:$I,6,0),"")</f>
        <v>136.05000000000001</v>
      </c>
      <c r="I413" s="14" t="str">
        <f>IFERROR(VLOOKUP(B413,Orders!$A:$I,8,0),"")</f>
        <v>FOB Shipping Point</v>
      </c>
      <c r="J413" s="16">
        <f t="shared" si="15"/>
        <v>46022</v>
      </c>
      <c r="K413" s="15">
        <f t="shared" si="14"/>
        <v>181218.6</v>
      </c>
      <c r="L413" s="14" t="str">
        <f>IF(H413="","Excluded - no order",IF(J413&lt;Assumptions!$B$3,"Pre-Q4",IF(J413&lt;=Assumptions!$B$4,"Q4 2025","Deferred Q1 2026")))</f>
        <v>Q4 2025</v>
      </c>
    </row>
    <row r="414" spans="1:12" ht="15" customHeight="1" x14ac:dyDescent="0.2">
      <c r="A414" s="14" t="s">
        <v>1042</v>
      </c>
      <c r="B414" s="14" t="s">
        <v>1043</v>
      </c>
      <c r="C414" s="18">
        <v>46002</v>
      </c>
      <c r="D414" s="18">
        <v>46008</v>
      </c>
      <c r="E414" s="14">
        <v>921</v>
      </c>
      <c r="F414" s="14" t="s">
        <v>73</v>
      </c>
      <c r="G414" s="14" t="s">
        <v>74</v>
      </c>
      <c r="H414" s="15">
        <f>IFERROR(VLOOKUP(B414,Orders!$A:$I,6,0),"")</f>
        <v>203.8</v>
      </c>
      <c r="I414" s="14" t="str">
        <f>IFERROR(VLOOKUP(B414,Orders!$A:$I,8,0),"")</f>
        <v>FOB Shipping Point</v>
      </c>
      <c r="J414" s="16">
        <f t="shared" si="15"/>
        <v>46002</v>
      </c>
      <c r="K414" s="15">
        <f t="shared" si="14"/>
        <v>187699.80000000002</v>
      </c>
      <c r="L414" s="14" t="str">
        <f>IF(H414="","Excluded - no order",IF(J414&lt;Assumptions!$B$3,"Pre-Q4",IF(J414&lt;=Assumptions!$B$4,"Q4 2025","Deferred Q1 2026")))</f>
        <v>Q4 2025</v>
      </c>
    </row>
    <row r="415" spans="1:12" ht="15" customHeight="1" x14ac:dyDescent="0.2">
      <c r="A415" s="14" t="s">
        <v>1044</v>
      </c>
      <c r="B415" s="14" t="s">
        <v>1045</v>
      </c>
      <c r="C415" s="18">
        <v>45946</v>
      </c>
      <c r="D415" s="18">
        <v>45947</v>
      </c>
      <c r="E415" s="14">
        <v>1130</v>
      </c>
      <c r="F415" s="14" t="s">
        <v>1046</v>
      </c>
      <c r="G415" s="14" t="s">
        <v>1047</v>
      </c>
      <c r="H415" s="15">
        <f>IFERROR(VLOOKUP(B415,Orders!$A:$I,6,0),"")</f>
        <v>446.24</v>
      </c>
      <c r="I415" s="14" t="str">
        <f>IFERROR(VLOOKUP(B415,Orders!$A:$I,8,0),"")</f>
        <v>FOB Shipping Point</v>
      </c>
      <c r="J415" s="16">
        <f t="shared" si="15"/>
        <v>45946</v>
      </c>
      <c r="K415" s="15">
        <f t="shared" si="14"/>
        <v>504251.2</v>
      </c>
      <c r="L415" s="14" t="str">
        <f>IF(H415="","Excluded - no order",IF(J415&lt;Assumptions!$B$3,"Pre-Q4",IF(J415&lt;=Assumptions!$B$4,"Q4 2025","Deferred Q1 2026")))</f>
        <v>Q4 2025</v>
      </c>
    </row>
    <row r="416" spans="1:12" ht="15" customHeight="1" x14ac:dyDescent="0.2">
      <c r="A416" s="14" t="s">
        <v>1048</v>
      </c>
      <c r="B416" s="14" t="s">
        <v>1049</v>
      </c>
      <c r="C416" s="18">
        <v>45950</v>
      </c>
      <c r="D416" s="18">
        <v>45952</v>
      </c>
      <c r="E416" s="14">
        <v>1770</v>
      </c>
      <c r="F416" s="14" t="s">
        <v>77</v>
      </c>
      <c r="G416" s="14" t="s">
        <v>78</v>
      </c>
      <c r="H416" s="15">
        <f>IFERROR(VLOOKUP(B416,Orders!$A:$I,6,0),"")</f>
        <v>87.67</v>
      </c>
      <c r="I416" s="14" t="str">
        <f>IFERROR(VLOOKUP(B416,Orders!$A:$I,8,0),"")</f>
        <v>FOB Shipping Point</v>
      </c>
      <c r="J416" s="16">
        <f t="shared" si="15"/>
        <v>45950</v>
      </c>
      <c r="K416" s="15">
        <f t="shared" si="14"/>
        <v>155175.9</v>
      </c>
      <c r="L416" s="14" t="str">
        <f>IF(H416="","Excluded - no order",IF(J416&lt;Assumptions!$B$3,"Pre-Q4",IF(J416&lt;=Assumptions!$B$4,"Q4 2025","Deferred Q1 2026")))</f>
        <v>Q4 2025</v>
      </c>
    </row>
    <row r="417" spans="1:12" ht="15" customHeight="1" x14ac:dyDescent="0.2">
      <c r="A417" s="14" t="s">
        <v>1050</v>
      </c>
      <c r="B417" s="14" t="s">
        <v>1051</v>
      </c>
      <c r="C417" s="18">
        <v>45947</v>
      </c>
      <c r="D417" s="18">
        <v>45951</v>
      </c>
      <c r="E417" s="14">
        <v>957</v>
      </c>
      <c r="F417" s="14" t="s">
        <v>77</v>
      </c>
      <c r="G417" s="14" t="s">
        <v>78</v>
      </c>
      <c r="H417" s="15">
        <f>IFERROR(VLOOKUP(B417,Orders!$A:$I,6,0),"")</f>
        <v>82.03</v>
      </c>
      <c r="I417" s="14" t="str">
        <f>IFERROR(VLOOKUP(B417,Orders!$A:$I,8,0),"")</f>
        <v>FOB Shipping Point</v>
      </c>
      <c r="J417" s="16">
        <f t="shared" si="15"/>
        <v>45947</v>
      </c>
      <c r="K417" s="15">
        <f t="shared" si="14"/>
        <v>78502.710000000006</v>
      </c>
      <c r="L417" s="14" t="str">
        <f>IF(H417="","Excluded - no order",IF(J417&lt;Assumptions!$B$3,"Pre-Q4",IF(J417&lt;=Assumptions!$B$4,"Q4 2025","Deferred Q1 2026")))</f>
        <v>Q4 2025</v>
      </c>
    </row>
    <row r="418" spans="1:12" ht="15" customHeight="1" x14ac:dyDescent="0.2">
      <c r="A418" s="14" t="s">
        <v>1052</v>
      </c>
      <c r="B418" s="14" t="s">
        <v>1053</v>
      </c>
      <c r="C418" s="18">
        <v>46013</v>
      </c>
      <c r="D418" s="18">
        <v>46016</v>
      </c>
      <c r="E418" s="14">
        <v>321</v>
      </c>
      <c r="F418" s="14" t="s">
        <v>1054</v>
      </c>
      <c r="G418" s="14" t="s">
        <v>1055</v>
      </c>
      <c r="H418" s="15">
        <f>IFERROR(VLOOKUP(B418,Orders!$A:$I,6,0),"")</f>
        <v>258.62</v>
      </c>
      <c r="I418" s="14" t="str">
        <f>IFERROR(VLOOKUP(B418,Orders!$A:$I,8,0),"")</f>
        <v>FOB Destination</v>
      </c>
      <c r="J418" s="16">
        <f t="shared" si="15"/>
        <v>46016</v>
      </c>
      <c r="K418" s="15">
        <f t="shared" si="14"/>
        <v>83017.02</v>
      </c>
      <c r="L418" s="14" t="str">
        <f>IF(H418="","Excluded - no order",IF(J418&lt;Assumptions!$B$3,"Pre-Q4",IF(J418&lt;=Assumptions!$B$4,"Q4 2025","Deferred Q1 2026")))</f>
        <v>Q4 2025</v>
      </c>
    </row>
    <row r="419" spans="1:12" ht="15" customHeight="1" x14ac:dyDescent="0.2">
      <c r="A419" s="14" t="s">
        <v>1056</v>
      </c>
      <c r="B419" s="14" t="s">
        <v>1057</v>
      </c>
      <c r="C419" s="18">
        <v>45941</v>
      </c>
      <c r="D419" s="18">
        <v>45943</v>
      </c>
      <c r="E419" s="14">
        <v>1572</v>
      </c>
      <c r="F419" s="14" t="s">
        <v>100</v>
      </c>
      <c r="G419" s="14" t="s">
        <v>101</v>
      </c>
      <c r="H419" s="15">
        <f>IFERROR(VLOOKUP(B419,Orders!$A:$I,6,0),"")</f>
        <v>53.36</v>
      </c>
      <c r="I419" s="14" t="str">
        <f>IFERROR(VLOOKUP(B419,Orders!$A:$I,8,0),"")</f>
        <v>FOB Destination</v>
      </c>
      <c r="J419" s="16">
        <f t="shared" si="15"/>
        <v>45943</v>
      </c>
      <c r="K419" s="15">
        <f t="shared" si="14"/>
        <v>83881.919999999998</v>
      </c>
      <c r="L419" s="14" t="str">
        <f>IF(H419="","Excluded - no order",IF(J419&lt;Assumptions!$B$3,"Pre-Q4",IF(J419&lt;=Assumptions!$B$4,"Q4 2025","Deferred Q1 2026")))</f>
        <v>Q4 2025</v>
      </c>
    </row>
    <row r="420" spans="1:12" ht="15" customHeight="1" x14ac:dyDescent="0.2">
      <c r="A420" s="14" t="s">
        <v>1058</v>
      </c>
      <c r="B420" s="14" t="s">
        <v>1059</v>
      </c>
      <c r="C420" s="18">
        <v>45984</v>
      </c>
      <c r="D420" s="18">
        <v>45985</v>
      </c>
      <c r="E420" s="14">
        <v>1023</v>
      </c>
      <c r="F420" s="14" t="s">
        <v>77</v>
      </c>
      <c r="G420" s="14" t="s">
        <v>78</v>
      </c>
      <c r="H420" s="15">
        <f>IFERROR(VLOOKUP(B420,Orders!$A:$I,6,0),"")</f>
        <v>461.35</v>
      </c>
      <c r="I420" s="14" t="str">
        <f>IFERROR(VLOOKUP(B420,Orders!$A:$I,8,0),"")</f>
        <v>FOB Shipping Point</v>
      </c>
      <c r="J420" s="16">
        <f t="shared" si="15"/>
        <v>45984</v>
      </c>
      <c r="K420" s="15">
        <f t="shared" si="14"/>
        <v>471961.05000000005</v>
      </c>
      <c r="L420" s="14" t="str">
        <f>IF(H420="","Excluded - no order",IF(J420&lt;Assumptions!$B$3,"Pre-Q4",IF(J420&lt;=Assumptions!$B$4,"Q4 2025","Deferred Q1 2026")))</f>
        <v>Q4 2025</v>
      </c>
    </row>
    <row r="421" spans="1:12" ht="15" customHeight="1" x14ac:dyDescent="0.2">
      <c r="A421" s="14" t="s">
        <v>1060</v>
      </c>
      <c r="B421" s="14" t="s">
        <v>1061</v>
      </c>
      <c r="C421" s="18">
        <v>45941</v>
      </c>
      <c r="D421" s="18">
        <v>45946</v>
      </c>
      <c r="E421" s="14">
        <v>1570</v>
      </c>
      <c r="F421" s="14" t="s">
        <v>477</v>
      </c>
      <c r="G421" s="14" t="s">
        <v>478</v>
      </c>
      <c r="H421" s="15">
        <f>IFERROR(VLOOKUP(B421,Orders!$A:$I,6,0),"")</f>
        <v>150.76</v>
      </c>
      <c r="I421" s="14" t="str">
        <f>IFERROR(VLOOKUP(B421,Orders!$A:$I,8,0),"")</f>
        <v>FOB Destination</v>
      </c>
      <c r="J421" s="16">
        <f t="shared" si="15"/>
        <v>45946</v>
      </c>
      <c r="K421" s="15">
        <f t="shared" si="14"/>
        <v>236693.19999999998</v>
      </c>
      <c r="L421" s="14" t="str">
        <f>IF(H421="","Excluded - no order",IF(J421&lt;Assumptions!$B$3,"Pre-Q4",IF(J421&lt;=Assumptions!$B$4,"Q4 2025","Deferred Q1 2026")))</f>
        <v>Q4 2025</v>
      </c>
    </row>
    <row r="422" spans="1:12" ht="15" customHeight="1" x14ac:dyDescent="0.2">
      <c r="A422" s="14" t="s">
        <v>1062</v>
      </c>
      <c r="B422" s="14" t="s">
        <v>1063</v>
      </c>
      <c r="C422" s="18">
        <v>46021</v>
      </c>
      <c r="D422" s="18">
        <v>46026</v>
      </c>
      <c r="E422" s="14">
        <v>1981</v>
      </c>
      <c r="F422" s="14" t="s">
        <v>112</v>
      </c>
      <c r="G422" s="14" t="s">
        <v>113</v>
      </c>
      <c r="H422" s="15">
        <f>IFERROR(VLOOKUP(B422,Orders!$A:$I,6,0),"")</f>
        <v>83.32</v>
      </c>
      <c r="I422" s="14" t="str">
        <f>IFERROR(VLOOKUP(B422,Orders!$A:$I,8,0),"")</f>
        <v>FOB Shipping Point</v>
      </c>
      <c r="J422" s="16">
        <f t="shared" si="15"/>
        <v>46021</v>
      </c>
      <c r="K422" s="15">
        <f t="shared" si="14"/>
        <v>165056.91999999998</v>
      </c>
      <c r="L422" s="14" t="str">
        <f>IF(H422="","Excluded - no order",IF(J422&lt;Assumptions!$B$3,"Pre-Q4",IF(J422&lt;=Assumptions!$B$4,"Q4 2025","Deferred Q1 2026")))</f>
        <v>Q4 2025</v>
      </c>
    </row>
    <row r="423" spans="1:12" ht="15" customHeight="1" x14ac:dyDescent="0.2">
      <c r="A423" s="14" t="s">
        <v>1064</v>
      </c>
      <c r="B423" s="14" t="s">
        <v>1065</v>
      </c>
      <c r="C423" s="18">
        <v>45968</v>
      </c>
      <c r="D423" s="18">
        <v>45969</v>
      </c>
      <c r="E423" s="14">
        <v>1958</v>
      </c>
      <c r="F423" s="14" t="s">
        <v>503</v>
      </c>
      <c r="G423" s="14" t="s">
        <v>504</v>
      </c>
      <c r="H423" s="15">
        <f>IFERROR(VLOOKUP(B423,Orders!$A:$I,6,0),"")</f>
        <v>327.42</v>
      </c>
      <c r="I423" s="14" t="str">
        <f>IFERROR(VLOOKUP(B423,Orders!$A:$I,8,0),"")</f>
        <v>FOB Destination</v>
      </c>
      <c r="J423" s="16">
        <f t="shared" si="15"/>
        <v>45969</v>
      </c>
      <c r="K423" s="15">
        <f t="shared" si="14"/>
        <v>641088.36</v>
      </c>
      <c r="L423" s="14" t="str">
        <f>IF(H423="","Excluded - no order",IF(J423&lt;Assumptions!$B$3,"Pre-Q4",IF(J423&lt;=Assumptions!$B$4,"Q4 2025","Deferred Q1 2026")))</f>
        <v>Q4 2025</v>
      </c>
    </row>
    <row r="424" spans="1:12" ht="15" customHeight="1" x14ac:dyDescent="0.2">
      <c r="A424" s="14" t="s">
        <v>1066</v>
      </c>
      <c r="B424" s="14" t="s">
        <v>1067</v>
      </c>
      <c r="C424" s="18">
        <v>45976</v>
      </c>
      <c r="D424" s="18">
        <v>45979</v>
      </c>
      <c r="E424" s="14">
        <v>319</v>
      </c>
      <c r="F424" s="14" t="s">
        <v>118</v>
      </c>
      <c r="G424" s="14" t="s">
        <v>119</v>
      </c>
      <c r="H424" s="15">
        <f>IFERROR(VLOOKUP(B424,Orders!$A:$I,6,0),"")</f>
        <v>356.56</v>
      </c>
      <c r="I424" s="14" t="str">
        <f>IFERROR(VLOOKUP(B424,Orders!$A:$I,8,0),"")</f>
        <v>FOB Shipping Point</v>
      </c>
      <c r="J424" s="16">
        <f t="shared" si="15"/>
        <v>45976</v>
      </c>
      <c r="K424" s="15">
        <f t="shared" si="14"/>
        <v>113742.64</v>
      </c>
      <c r="L424" s="14" t="str">
        <f>IF(H424="","Excluded - no order",IF(J424&lt;Assumptions!$B$3,"Pre-Q4",IF(J424&lt;=Assumptions!$B$4,"Q4 2025","Deferred Q1 2026")))</f>
        <v>Q4 2025</v>
      </c>
    </row>
    <row r="425" spans="1:12" ht="15" customHeight="1" x14ac:dyDescent="0.2">
      <c r="A425" s="14" t="s">
        <v>1068</v>
      </c>
      <c r="B425" s="14" t="s">
        <v>1069</v>
      </c>
      <c r="C425" s="18">
        <v>45976</v>
      </c>
      <c r="D425" s="18">
        <v>45978</v>
      </c>
      <c r="E425" s="14">
        <v>281</v>
      </c>
      <c r="F425" s="14" t="s">
        <v>122</v>
      </c>
      <c r="G425" s="14" t="s">
        <v>123</v>
      </c>
      <c r="H425" s="15">
        <f>IFERROR(VLOOKUP(B425,Orders!$A:$I,6,0),"")</f>
        <v>226.76</v>
      </c>
      <c r="I425" s="14" t="str">
        <f>IFERROR(VLOOKUP(B425,Orders!$A:$I,8,0),"")</f>
        <v>FOB Destination</v>
      </c>
      <c r="J425" s="16">
        <f t="shared" si="15"/>
        <v>45978</v>
      </c>
      <c r="K425" s="15">
        <f t="shared" si="14"/>
        <v>63719.56</v>
      </c>
      <c r="L425" s="14" t="str">
        <f>IF(H425="","Excluded - no order",IF(J425&lt;Assumptions!$B$3,"Pre-Q4",IF(J425&lt;=Assumptions!$B$4,"Q4 2025","Deferred Q1 2026")))</f>
        <v>Q4 2025</v>
      </c>
    </row>
    <row r="426" spans="1:12" ht="15" customHeight="1" x14ac:dyDescent="0.2">
      <c r="A426" s="14" t="s">
        <v>1070</v>
      </c>
      <c r="B426" s="14" t="s">
        <v>1069</v>
      </c>
      <c r="C426" s="18">
        <v>45978</v>
      </c>
      <c r="D426" s="18">
        <v>45980</v>
      </c>
      <c r="E426" s="14">
        <v>78</v>
      </c>
      <c r="F426" s="14" t="s">
        <v>149</v>
      </c>
      <c r="G426" s="14" t="s">
        <v>150</v>
      </c>
      <c r="H426" s="15">
        <f>IFERROR(VLOOKUP(B426,Orders!$A:$I,6,0),"")</f>
        <v>226.76</v>
      </c>
      <c r="I426" s="14" t="str">
        <f>IFERROR(VLOOKUP(B426,Orders!$A:$I,8,0),"")</f>
        <v>FOB Destination</v>
      </c>
      <c r="J426" s="16">
        <f t="shared" si="15"/>
        <v>45980</v>
      </c>
      <c r="K426" s="15">
        <f t="shared" si="14"/>
        <v>17687.28</v>
      </c>
      <c r="L426" s="14" t="str">
        <f>IF(H426="","Excluded - no order",IF(J426&lt;Assumptions!$B$3,"Pre-Q4",IF(J426&lt;=Assumptions!$B$4,"Q4 2025","Deferred Q1 2026")))</f>
        <v>Q4 2025</v>
      </c>
    </row>
    <row r="427" spans="1:12" ht="15" customHeight="1" x14ac:dyDescent="0.2">
      <c r="A427" s="14" t="s">
        <v>1071</v>
      </c>
      <c r="B427" s="14" t="s">
        <v>1072</v>
      </c>
      <c r="C427" s="18">
        <v>46014</v>
      </c>
      <c r="D427" s="18">
        <v>46016</v>
      </c>
      <c r="E427" s="14">
        <v>1773</v>
      </c>
      <c r="F427" s="14" t="s">
        <v>176</v>
      </c>
      <c r="G427" s="14" t="s">
        <v>177</v>
      </c>
      <c r="H427" s="15">
        <f>IFERROR(VLOOKUP(B427,Orders!$A:$I,6,0),"")</f>
        <v>4.8600000000000003</v>
      </c>
      <c r="I427" s="14" t="str">
        <f>IFERROR(VLOOKUP(B427,Orders!$A:$I,8,0),"")</f>
        <v>FOB Shipping Point</v>
      </c>
      <c r="J427" s="16">
        <f t="shared" si="15"/>
        <v>46014</v>
      </c>
      <c r="K427" s="15">
        <f t="shared" si="14"/>
        <v>8616.7800000000007</v>
      </c>
      <c r="L427" s="14" t="str">
        <f>IF(H427="","Excluded - no order",IF(J427&lt;Assumptions!$B$3,"Pre-Q4",IF(J427&lt;=Assumptions!$B$4,"Q4 2025","Deferred Q1 2026")))</f>
        <v>Q4 2025</v>
      </c>
    </row>
    <row r="428" spans="1:12" ht="15" customHeight="1" x14ac:dyDescent="0.2">
      <c r="A428" s="14" t="s">
        <v>1073</v>
      </c>
      <c r="B428" s="14" t="s">
        <v>1074</v>
      </c>
      <c r="C428" s="18">
        <v>46008</v>
      </c>
      <c r="D428" s="18">
        <v>46011</v>
      </c>
      <c r="E428" s="14">
        <v>1161</v>
      </c>
      <c r="F428" s="14" t="s">
        <v>1075</v>
      </c>
      <c r="G428" s="14" t="s">
        <v>1076</v>
      </c>
      <c r="H428" s="15">
        <f>IFERROR(VLOOKUP(B428,Orders!$A:$I,6,0),"")</f>
        <v>122.99</v>
      </c>
      <c r="I428" s="14" t="str">
        <f>IFERROR(VLOOKUP(B428,Orders!$A:$I,8,0),"")</f>
        <v>FOB Destination</v>
      </c>
      <c r="J428" s="16">
        <f t="shared" si="15"/>
        <v>46011</v>
      </c>
      <c r="K428" s="15">
        <f t="shared" si="14"/>
        <v>142791.38999999998</v>
      </c>
      <c r="L428" s="14" t="str">
        <f>IF(H428="","Excluded - no order",IF(J428&lt;Assumptions!$B$3,"Pre-Q4",IF(J428&lt;=Assumptions!$B$4,"Q4 2025","Deferred Q1 2026")))</f>
        <v>Q4 2025</v>
      </c>
    </row>
    <row r="429" spans="1:12" ht="15" customHeight="1" x14ac:dyDescent="0.2">
      <c r="A429" s="14" t="s">
        <v>1077</v>
      </c>
      <c r="B429" s="14" t="s">
        <v>1078</v>
      </c>
      <c r="C429" s="18">
        <v>46017</v>
      </c>
      <c r="D429" s="18">
        <v>46019</v>
      </c>
      <c r="E429" s="14">
        <v>1856</v>
      </c>
      <c r="F429" s="14" t="s">
        <v>112</v>
      </c>
      <c r="G429" s="14" t="s">
        <v>113</v>
      </c>
      <c r="H429" s="15">
        <f>IFERROR(VLOOKUP(B429,Orders!$A:$I,6,0),"")</f>
        <v>177.81</v>
      </c>
      <c r="I429" s="14" t="str">
        <f>IFERROR(VLOOKUP(B429,Orders!$A:$I,8,0),"")</f>
        <v>FOB Destination</v>
      </c>
      <c r="J429" s="16">
        <f t="shared" si="15"/>
        <v>46019</v>
      </c>
      <c r="K429" s="15">
        <f t="shared" si="14"/>
        <v>330015.35999999999</v>
      </c>
      <c r="L429" s="14" t="str">
        <f>IF(H429="","Excluded - no order",IF(J429&lt;Assumptions!$B$3,"Pre-Q4",IF(J429&lt;=Assumptions!$B$4,"Q4 2025","Deferred Q1 2026")))</f>
        <v>Q4 2025</v>
      </c>
    </row>
    <row r="430" spans="1:12" ht="15" customHeight="1" x14ac:dyDescent="0.2">
      <c r="A430" s="14" t="s">
        <v>1079</v>
      </c>
      <c r="B430" s="14" t="s">
        <v>1080</v>
      </c>
      <c r="C430" s="18">
        <v>46010</v>
      </c>
      <c r="D430" s="18">
        <v>46011</v>
      </c>
      <c r="E430" s="14">
        <v>85</v>
      </c>
      <c r="F430" s="14" t="s">
        <v>1081</v>
      </c>
      <c r="G430" s="14" t="s">
        <v>1082</v>
      </c>
      <c r="H430" s="15">
        <f>IFERROR(VLOOKUP(B430,Orders!$A:$I,6,0),"")</f>
        <v>490.18</v>
      </c>
      <c r="I430" s="14" t="str">
        <f>IFERROR(VLOOKUP(B430,Orders!$A:$I,8,0),"")</f>
        <v>FOB Shipping Point</v>
      </c>
      <c r="J430" s="16">
        <f t="shared" si="15"/>
        <v>46010</v>
      </c>
      <c r="K430" s="15">
        <f t="shared" si="14"/>
        <v>41665.300000000003</v>
      </c>
      <c r="L430" s="14" t="str">
        <f>IF(H430="","Excluded - no order",IF(J430&lt;Assumptions!$B$3,"Pre-Q4",IF(J430&lt;=Assumptions!$B$4,"Q4 2025","Deferred Q1 2026")))</f>
        <v>Q4 2025</v>
      </c>
    </row>
    <row r="431" spans="1:12" ht="15" customHeight="1" x14ac:dyDescent="0.2">
      <c r="A431" s="14" t="s">
        <v>1083</v>
      </c>
      <c r="B431" s="14" t="s">
        <v>1084</v>
      </c>
      <c r="C431" s="18">
        <v>45980</v>
      </c>
      <c r="D431" s="18">
        <v>45986</v>
      </c>
      <c r="E431" s="14">
        <v>1695</v>
      </c>
      <c r="F431" s="14" t="s">
        <v>118</v>
      </c>
      <c r="G431" s="14" t="s">
        <v>119</v>
      </c>
      <c r="H431" s="15">
        <f>IFERROR(VLOOKUP(B431,Orders!$A:$I,6,0),"")</f>
        <v>99.67</v>
      </c>
      <c r="I431" s="14" t="str">
        <f>IFERROR(VLOOKUP(B431,Orders!$A:$I,8,0),"")</f>
        <v>FOB Shipping Point</v>
      </c>
      <c r="J431" s="16">
        <f t="shared" si="15"/>
        <v>45980</v>
      </c>
      <c r="K431" s="15">
        <f t="shared" si="14"/>
        <v>168940.65</v>
      </c>
      <c r="L431" s="14" t="str">
        <f>IF(H431="","Excluded - no order",IF(J431&lt;Assumptions!$B$3,"Pre-Q4",IF(J431&lt;=Assumptions!$B$4,"Q4 2025","Deferred Q1 2026")))</f>
        <v>Q4 2025</v>
      </c>
    </row>
    <row r="432" spans="1:12" ht="15" customHeight="1" x14ac:dyDescent="0.2">
      <c r="A432" s="14" t="s">
        <v>1085</v>
      </c>
      <c r="B432" s="14" t="s">
        <v>1086</v>
      </c>
      <c r="C432" s="18">
        <v>45985</v>
      </c>
      <c r="D432" s="18">
        <v>45987</v>
      </c>
      <c r="E432" s="14">
        <v>912</v>
      </c>
      <c r="F432" s="14" t="s">
        <v>203</v>
      </c>
      <c r="G432" s="14" t="s">
        <v>204</v>
      </c>
      <c r="H432" s="15">
        <f>IFERROR(VLOOKUP(B432,Orders!$A:$I,6,0),"")</f>
        <v>417.88</v>
      </c>
      <c r="I432" s="14" t="str">
        <f>IFERROR(VLOOKUP(B432,Orders!$A:$I,8,0),"")</f>
        <v>FOB Destination</v>
      </c>
      <c r="J432" s="16">
        <f t="shared" si="15"/>
        <v>45987</v>
      </c>
      <c r="K432" s="15">
        <f t="shared" si="14"/>
        <v>381106.56</v>
      </c>
      <c r="L432" s="14" t="str">
        <f>IF(H432="","Excluded - no order",IF(J432&lt;Assumptions!$B$3,"Pre-Q4",IF(J432&lt;=Assumptions!$B$4,"Q4 2025","Deferred Q1 2026")))</f>
        <v>Q4 2025</v>
      </c>
    </row>
    <row r="433" spans="1:12" ht="15" customHeight="1" x14ac:dyDescent="0.2">
      <c r="A433" s="14" t="s">
        <v>1087</v>
      </c>
      <c r="B433" s="14" t="s">
        <v>1086</v>
      </c>
      <c r="C433" s="18">
        <v>45987</v>
      </c>
      <c r="D433" s="18">
        <v>45989</v>
      </c>
      <c r="E433" s="14">
        <v>410</v>
      </c>
      <c r="F433" s="14" t="s">
        <v>229</v>
      </c>
      <c r="G433" s="14" t="s">
        <v>230</v>
      </c>
      <c r="H433" s="15">
        <f>IFERROR(VLOOKUP(B433,Orders!$A:$I,6,0),"")</f>
        <v>417.88</v>
      </c>
      <c r="I433" s="14" t="str">
        <f>IFERROR(VLOOKUP(B433,Orders!$A:$I,8,0),"")</f>
        <v>FOB Destination</v>
      </c>
      <c r="J433" s="16">
        <f t="shared" si="15"/>
        <v>45989</v>
      </c>
      <c r="K433" s="15">
        <f t="shared" si="14"/>
        <v>171330.8</v>
      </c>
      <c r="L433" s="14" t="str">
        <f>IF(H433="","Excluded - no order",IF(J433&lt;Assumptions!$B$3,"Pre-Q4",IF(J433&lt;=Assumptions!$B$4,"Q4 2025","Deferred Q1 2026")))</f>
        <v>Q4 2025</v>
      </c>
    </row>
    <row r="434" spans="1:12" ht="15" customHeight="1" x14ac:dyDescent="0.2">
      <c r="A434" s="14" t="s">
        <v>1088</v>
      </c>
      <c r="B434" s="14" t="s">
        <v>1089</v>
      </c>
      <c r="C434" s="18">
        <v>46006</v>
      </c>
      <c r="D434" s="18">
        <v>46009</v>
      </c>
      <c r="E434" s="14">
        <v>1165</v>
      </c>
      <c r="F434" s="14" t="s">
        <v>100</v>
      </c>
      <c r="G434" s="14" t="s">
        <v>101</v>
      </c>
      <c r="H434" s="15">
        <f>IFERROR(VLOOKUP(B434,Orders!$A:$I,6,0),"")</f>
        <v>334.13</v>
      </c>
      <c r="I434" s="14" t="str">
        <f>IFERROR(VLOOKUP(B434,Orders!$A:$I,8,0),"")</f>
        <v>FOB Shipping Point</v>
      </c>
      <c r="J434" s="16">
        <f t="shared" si="15"/>
        <v>46006</v>
      </c>
      <c r="K434" s="15">
        <f t="shared" si="14"/>
        <v>389261.45</v>
      </c>
      <c r="L434" s="14" t="str">
        <f>IF(H434="","Excluded - no order",IF(J434&lt;Assumptions!$B$3,"Pre-Q4",IF(J434&lt;=Assumptions!$B$4,"Q4 2025","Deferred Q1 2026")))</f>
        <v>Q4 2025</v>
      </c>
    </row>
    <row r="435" spans="1:12" ht="15" customHeight="1" x14ac:dyDescent="0.2">
      <c r="A435" s="14" t="s">
        <v>1090</v>
      </c>
      <c r="B435" s="14" t="s">
        <v>1091</v>
      </c>
      <c r="C435" s="18">
        <v>45997</v>
      </c>
      <c r="D435" s="18">
        <v>45999</v>
      </c>
      <c r="E435" s="14">
        <v>361</v>
      </c>
      <c r="F435" s="14" t="s">
        <v>77</v>
      </c>
      <c r="G435" s="14" t="s">
        <v>78</v>
      </c>
      <c r="H435" s="15">
        <f>IFERROR(VLOOKUP(B435,Orders!$A:$I,6,0),"")</f>
        <v>98.71</v>
      </c>
      <c r="I435" s="14" t="str">
        <f>IFERROR(VLOOKUP(B435,Orders!$A:$I,8,0),"")</f>
        <v>FOB Shipping Point</v>
      </c>
      <c r="J435" s="16">
        <f t="shared" si="15"/>
        <v>45997</v>
      </c>
      <c r="K435" s="15">
        <f t="shared" si="14"/>
        <v>35634.31</v>
      </c>
      <c r="L435" s="14" t="str">
        <f>IF(H435="","Excluded - no order",IF(J435&lt;Assumptions!$B$3,"Pre-Q4",IF(J435&lt;=Assumptions!$B$4,"Q4 2025","Deferred Q1 2026")))</f>
        <v>Q4 2025</v>
      </c>
    </row>
    <row r="436" spans="1:12" ht="15" customHeight="1" x14ac:dyDescent="0.2">
      <c r="A436" s="14" t="s">
        <v>1092</v>
      </c>
      <c r="B436" s="14" t="s">
        <v>1093</v>
      </c>
      <c r="C436" s="18">
        <v>45985</v>
      </c>
      <c r="D436" s="18">
        <v>45987</v>
      </c>
      <c r="E436" s="14">
        <v>742</v>
      </c>
      <c r="F436" s="14" t="s">
        <v>112</v>
      </c>
      <c r="G436" s="14" t="s">
        <v>113</v>
      </c>
      <c r="H436" s="15">
        <f>IFERROR(VLOOKUP(B436,Orders!$A:$I,6,0),"")</f>
        <v>383.1</v>
      </c>
      <c r="I436" s="14" t="str">
        <f>IFERROR(VLOOKUP(B436,Orders!$A:$I,8,0),"")</f>
        <v>FOB Destination</v>
      </c>
      <c r="J436" s="16">
        <f t="shared" si="15"/>
        <v>45987</v>
      </c>
      <c r="K436" s="15">
        <f t="shared" si="14"/>
        <v>284260.2</v>
      </c>
      <c r="L436" s="14" t="str">
        <f>IF(H436="","Excluded - no order",IF(J436&lt;Assumptions!$B$3,"Pre-Q4",IF(J436&lt;=Assumptions!$B$4,"Q4 2025","Deferred Q1 2026")))</f>
        <v>Q4 2025</v>
      </c>
    </row>
    <row r="437" spans="1:12" ht="15" customHeight="1" x14ac:dyDescent="0.2">
      <c r="A437" s="14" t="s">
        <v>1094</v>
      </c>
      <c r="B437" s="14" t="s">
        <v>1095</v>
      </c>
      <c r="C437" s="18">
        <v>45994</v>
      </c>
      <c r="D437" s="18">
        <v>45995</v>
      </c>
      <c r="E437" s="14">
        <v>311</v>
      </c>
      <c r="F437" s="14" t="s">
        <v>118</v>
      </c>
      <c r="G437" s="14" t="s">
        <v>119</v>
      </c>
      <c r="H437" s="15">
        <f>IFERROR(VLOOKUP(B437,Orders!$A:$I,6,0),"")</f>
        <v>17.37</v>
      </c>
      <c r="I437" s="14" t="str">
        <f>IFERROR(VLOOKUP(B437,Orders!$A:$I,8,0),"")</f>
        <v>FOB Shipping Point</v>
      </c>
      <c r="J437" s="16">
        <f t="shared" si="15"/>
        <v>45994</v>
      </c>
      <c r="K437" s="15">
        <f t="shared" si="14"/>
        <v>5402.0700000000006</v>
      </c>
      <c r="L437" s="14" t="str">
        <f>IF(H437="","Excluded - no order",IF(J437&lt;Assumptions!$B$3,"Pre-Q4",IF(J437&lt;=Assumptions!$B$4,"Q4 2025","Deferred Q1 2026")))</f>
        <v>Q4 2025</v>
      </c>
    </row>
    <row r="438" spans="1:12" ht="15" customHeight="1" x14ac:dyDescent="0.2">
      <c r="A438" s="14" t="s">
        <v>1096</v>
      </c>
      <c r="B438" s="14" t="s">
        <v>1097</v>
      </c>
      <c r="C438" s="18">
        <v>45998</v>
      </c>
      <c r="D438" s="18">
        <v>46002</v>
      </c>
      <c r="E438" s="14">
        <v>352</v>
      </c>
      <c r="F438" s="14" t="s">
        <v>122</v>
      </c>
      <c r="G438" s="14" t="s">
        <v>123</v>
      </c>
      <c r="H438" s="15">
        <f>IFERROR(VLOOKUP(B438,Orders!$A:$I,6,0),"")</f>
        <v>425.54</v>
      </c>
      <c r="I438" s="14" t="str">
        <f>IFERROR(VLOOKUP(B438,Orders!$A:$I,8,0),"")</f>
        <v>FOB Shipping Point</v>
      </c>
      <c r="J438" s="16">
        <f t="shared" si="15"/>
        <v>45998</v>
      </c>
      <c r="K438" s="15">
        <f t="shared" si="14"/>
        <v>149790.08000000002</v>
      </c>
      <c r="L438" s="14" t="str">
        <f>IF(H438="","Excluded - no order",IF(J438&lt;Assumptions!$B$3,"Pre-Q4",IF(J438&lt;=Assumptions!$B$4,"Q4 2025","Deferred Q1 2026")))</f>
        <v>Q4 2025</v>
      </c>
    </row>
    <row r="439" spans="1:12" ht="15" customHeight="1" x14ac:dyDescent="0.2">
      <c r="A439" s="14" t="s">
        <v>1098</v>
      </c>
      <c r="B439" s="14" t="s">
        <v>1099</v>
      </c>
      <c r="C439" s="18">
        <v>45948</v>
      </c>
      <c r="D439" s="18">
        <v>45953</v>
      </c>
      <c r="E439" s="14">
        <v>1081</v>
      </c>
      <c r="F439" s="14" t="s">
        <v>149</v>
      </c>
      <c r="G439" s="14" t="s">
        <v>150</v>
      </c>
      <c r="H439" s="15">
        <f>IFERROR(VLOOKUP(B439,Orders!$A:$I,6,0),"")</f>
        <v>339.92</v>
      </c>
      <c r="I439" s="14" t="str">
        <f>IFERROR(VLOOKUP(B439,Orders!$A:$I,8,0),"")</f>
        <v>FOB Shipping Point</v>
      </c>
      <c r="J439" s="16">
        <f t="shared" si="15"/>
        <v>45948</v>
      </c>
      <c r="K439" s="15">
        <f t="shared" si="14"/>
        <v>367453.52</v>
      </c>
      <c r="L439" s="14" t="str">
        <f>IF(H439="","Excluded - no order",IF(J439&lt;Assumptions!$B$3,"Pre-Q4",IF(J439&lt;=Assumptions!$B$4,"Q4 2025","Deferred Q1 2026")))</f>
        <v>Q4 2025</v>
      </c>
    </row>
    <row r="440" spans="1:12" ht="15" customHeight="1" x14ac:dyDescent="0.2">
      <c r="A440" s="14" t="s">
        <v>1100</v>
      </c>
      <c r="B440" s="14" t="s">
        <v>1101</v>
      </c>
      <c r="C440" s="18">
        <v>45983</v>
      </c>
      <c r="D440" s="18">
        <v>45985</v>
      </c>
      <c r="E440" s="14">
        <v>741</v>
      </c>
      <c r="F440" s="14" t="s">
        <v>506</v>
      </c>
      <c r="G440" s="14" t="s">
        <v>507</v>
      </c>
      <c r="H440" s="15">
        <f>IFERROR(VLOOKUP(B440,Orders!$A:$I,6,0),"")</f>
        <v>168.01</v>
      </c>
      <c r="I440" s="14" t="str">
        <f>IFERROR(VLOOKUP(B440,Orders!$A:$I,8,0),"")</f>
        <v>FOB Destination</v>
      </c>
      <c r="J440" s="16">
        <f t="shared" si="15"/>
        <v>45985</v>
      </c>
      <c r="K440" s="15">
        <f t="shared" si="14"/>
        <v>124495.40999999999</v>
      </c>
      <c r="L440" s="14" t="str">
        <f>IF(H440="","Excluded - no order",IF(J440&lt;Assumptions!$B$3,"Pre-Q4",IF(J440&lt;=Assumptions!$B$4,"Q4 2025","Deferred Q1 2026")))</f>
        <v>Q4 2025</v>
      </c>
    </row>
    <row r="441" spans="1:12" ht="15" customHeight="1" x14ac:dyDescent="0.2">
      <c r="A441" s="14" t="s">
        <v>1102</v>
      </c>
      <c r="B441" s="14" t="s">
        <v>1103</v>
      </c>
      <c r="C441" s="18">
        <v>45982</v>
      </c>
      <c r="D441" s="18">
        <v>45985</v>
      </c>
      <c r="E441" s="14">
        <v>604</v>
      </c>
      <c r="F441" s="14" t="s">
        <v>1104</v>
      </c>
      <c r="G441" s="14" t="s">
        <v>1105</v>
      </c>
      <c r="H441" s="15">
        <f>IFERROR(VLOOKUP(B441,Orders!$A:$I,6,0),"")</f>
        <v>40.630000000000003</v>
      </c>
      <c r="I441" s="14" t="str">
        <f>IFERROR(VLOOKUP(B441,Orders!$A:$I,8,0),"")</f>
        <v>FOB Destination</v>
      </c>
      <c r="J441" s="16">
        <f t="shared" si="15"/>
        <v>45985</v>
      </c>
      <c r="K441" s="15">
        <f t="shared" si="14"/>
        <v>24540.52</v>
      </c>
      <c r="L441" s="14" t="str">
        <f>IF(H441="","Excluded - no order",IF(J441&lt;Assumptions!$B$3,"Pre-Q4",IF(J441&lt;=Assumptions!$B$4,"Q4 2025","Deferred Q1 2026")))</f>
        <v>Q4 2025</v>
      </c>
    </row>
    <row r="442" spans="1:12" ht="15" customHeight="1" x14ac:dyDescent="0.2">
      <c r="A442" s="14" t="s">
        <v>1106</v>
      </c>
      <c r="B442" s="14" t="s">
        <v>1107</v>
      </c>
      <c r="C442" s="18">
        <v>46000</v>
      </c>
      <c r="D442" s="18">
        <v>46005</v>
      </c>
      <c r="E442" s="14">
        <v>1630</v>
      </c>
      <c r="F442" s="14" t="s">
        <v>73</v>
      </c>
      <c r="G442" s="14" t="s">
        <v>74</v>
      </c>
      <c r="H442" s="15">
        <f>IFERROR(VLOOKUP(B442,Orders!$A:$I,6,0),"")</f>
        <v>208.63</v>
      </c>
      <c r="I442" s="14" t="str">
        <f>IFERROR(VLOOKUP(B442,Orders!$A:$I,8,0),"")</f>
        <v>FOB Destination</v>
      </c>
      <c r="J442" s="16">
        <f t="shared" si="15"/>
        <v>46005</v>
      </c>
      <c r="K442" s="15">
        <f t="shared" si="14"/>
        <v>340066.89999999997</v>
      </c>
      <c r="L442" s="14" t="str">
        <f>IF(H442="","Excluded - no order",IF(J442&lt;Assumptions!$B$3,"Pre-Q4",IF(J442&lt;=Assumptions!$B$4,"Q4 2025","Deferred Q1 2026")))</f>
        <v>Q4 2025</v>
      </c>
    </row>
    <row r="443" spans="1:12" ht="15" customHeight="1" x14ac:dyDescent="0.2">
      <c r="A443" s="14" t="s">
        <v>1108</v>
      </c>
      <c r="B443" s="14" t="s">
        <v>1109</v>
      </c>
      <c r="C443" s="18">
        <v>45985</v>
      </c>
      <c r="D443" s="18">
        <v>45989</v>
      </c>
      <c r="E443" s="14">
        <v>1674</v>
      </c>
      <c r="F443" s="14" t="s">
        <v>100</v>
      </c>
      <c r="G443" s="14" t="s">
        <v>101</v>
      </c>
      <c r="H443" s="15">
        <f>IFERROR(VLOOKUP(B443,Orders!$A:$I,6,0),"")</f>
        <v>379.75</v>
      </c>
      <c r="I443" s="14" t="str">
        <f>IFERROR(VLOOKUP(B443,Orders!$A:$I,8,0),"")</f>
        <v>FOB Shipping Point</v>
      </c>
      <c r="J443" s="16">
        <f t="shared" si="15"/>
        <v>45985</v>
      </c>
      <c r="K443" s="15">
        <f t="shared" si="14"/>
        <v>635701.5</v>
      </c>
      <c r="L443" s="14" t="str">
        <f>IF(H443="","Excluded - no order",IF(J443&lt;Assumptions!$B$3,"Pre-Q4",IF(J443&lt;=Assumptions!$B$4,"Q4 2025","Deferred Q1 2026")))</f>
        <v>Q4 2025</v>
      </c>
    </row>
    <row r="444" spans="1:12" ht="15" customHeight="1" x14ac:dyDescent="0.2">
      <c r="A444" s="14" t="s">
        <v>1110</v>
      </c>
      <c r="B444" s="14" t="s">
        <v>1111</v>
      </c>
      <c r="C444" s="18">
        <v>45969</v>
      </c>
      <c r="D444" s="18">
        <v>45974</v>
      </c>
      <c r="E444" s="14">
        <v>1076</v>
      </c>
      <c r="F444" s="14" t="s">
        <v>510</v>
      </c>
      <c r="G444" s="14" t="s">
        <v>511</v>
      </c>
      <c r="H444" s="15">
        <f>IFERROR(VLOOKUP(B444,Orders!$A:$I,6,0),"")</f>
        <v>319.81</v>
      </c>
      <c r="I444" s="14" t="str">
        <f>IFERROR(VLOOKUP(B444,Orders!$A:$I,8,0),"")</f>
        <v>FOB Destination</v>
      </c>
      <c r="J444" s="16">
        <f t="shared" si="15"/>
        <v>45974</v>
      </c>
      <c r="K444" s="15">
        <f t="shared" si="14"/>
        <v>344115.56</v>
      </c>
      <c r="L444" s="14" t="str">
        <f>IF(H444="","Excluded - no order",IF(J444&lt;Assumptions!$B$3,"Pre-Q4",IF(J444&lt;=Assumptions!$B$4,"Q4 2025","Deferred Q1 2026")))</f>
        <v>Q4 2025</v>
      </c>
    </row>
    <row r="445" spans="1:12" ht="15" customHeight="1" x14ac:dyDescent="0.2">
      <c r="A445" s="14" t="s">
        <v>1112</v>
      </c>
      <c r="B445" s="14" t="s">
        <v>1113</v>
      </c>
      <c r="C445" s="18">
        <v>45954</v>
      </c>
      <c r="D445" s="18">
        <v>45959</v>
      </c>
      <c r="E445" s="14">
        <v>1628</v>
      </c>
      <c r="F445" s="14" t="s">
        <v>77</v>
      </c>
      <c r="G445" s="14" t="s">
        <v>78</v>
      </c>
      <c r="H445" s="15">
        <f>IFERROR(VLOOKUP(B445,Orders!$A:$I,6,0),"")</f>
        <v>135.29</v>
      </c>
      <c r="I445" s="14" t="str">
        <f>IFERROR(VLOOKUP(B445,Orders!$A:$I,8,0),"")</f>
        <v>FOB Shipping Point</v>
      </c>
      <c r="J445" s="16">
        <f t="shared" si="15"/>
        <v>45954</v>
      </c>
      <c r="K445" s="15">
        <f t="shared" si="14"/>
        <v>220252.12</v>
      </c>
      <c r="L445" s="14" t="str">
        <f>IF(H445="","Excluded - no order",IF(J445&lt;Assumptions!$B$3,"Pre-Q4",IF(J445&lt;=Assumptions!$B$4,"Q4 2025","Deferred Q1 2026")))</f>
        <v>Q4 2025</v>
      </c>
    </row>
    <row r="446" spans="1:12" ht="15" customHeight="1" x14ac:dyDescent="0.2">
      <c r="A446" s="14" t="s">
        <v>1114</v>
      </c>
      <c r="B446" s="14" t="s">
        <v>1115</v>
      </c>
      <c r="C446" s="18">
        <v>46012</v>
      </c>
      <c r="D446" s="18">
        <v>46014</v>
      </c>
      <c r="E446" s="14">
        <v>119</v>
      </c>
      <c r="F446" s="14" t="s">
        <v>112</v>
      </c>
      <c r="G446" s="14" t="s">
        <v>113</v>
      </c>
      <c r="H446" s="15">
        <f>IFERROR(VLOOKUP(B446,Orders!$A:$I,6,0),"")</f>
        <v>284.95</v>
      </c>
      <c r="I446" s="14" t="str">
        <f>IFERROR(VLOOKUP(B446,Orders!$A:$I,8,0),"")</f>
        <v>FOB Shipping Point</v>
      </c>
      <c r="J446" s="16">
        <f t="shared" si="15"/>
        <v>46012</v>
      </c>
      <c r="K446" s="15">
        <f t="shared" si="14"/>
        <v>33909.049999999996</v>
      </c>
      <c r="L446" s="14" t="str">
        <f>IF(H446="","Excluded - no order",IF(J446&lt;Assumptions!$B$3,"Pre-Q4",IF(J446&lt;=Assumptions!$B$4,"Q4 2025","Deferred Q1 2026")))</f>
        <v>Q4 2025</v>
      </c>
    </row>
    <row r="447" spans="1:12" ht="15" customHeight="1" x14ac:dyDescent="0.2">
      <c r="A447" s="14" t="s">
        <v>1116</v>
      </c>
      <c r="B447" s="14" t="s">
        <v>1115</v>
      </c>
      <c r="C447" s="18">
        <v>46014</v>
      </c>
      <c r="D447" s="18">
        <v>46016</v>
      </c>
      <c r="E447" s="14">
        <v>80</v>
      </c>
      <c r="F447" s="14" t="s">
        <v>118</v>
      </c>
      <c r="G447" s="14" t="s">
        <v>119</v>
      </c>
      <c r="H447" s="15">
        <f>IFERROR(VLOOKUP(B447,Orders!$A:$I,6,0),"")</f>
        <v>284.95</v>
      </c>
      <c r="I447" s="14" t="str">
        <f>IFERROR(VLOOKUP(B447,Orders!$A:$I,8,0),"")</f>
        <v>FOB Shipping Point</v>
      </c>
      <c r="J447" s="16">
        <f t="shared" si="15"/>
        <v>46014</v>
      </c>
      <c r="K447" s="15">
        <f t="shared" si="14"/>
        <v>22796</v>
      </c>
      <c r="L447" s="14" t="str">
        <f>IF(H447="","Excluded - no order",IF(J447&lt;Assumptions!$B$3,"Pre-Q4",IF(J447&lt;=Assumptions!$B$4,"Q4 2025","Deferred Q1 2026")))</f>
        <v>Q4 2025</v>
      </c>
    </row>
    <row r="448" spans="1:12" ht="15" customHeight="1" x14ac:dyDescent="0.2">
      <c r="A448" s="14" t="s">
        <v>1117</v>
      </c>
      <c r="B448" s="14" t="s">
        <v>1118</v>
      </c>
      <c r="C448" s="18">
        <v>45969</v>
      </c>
      <c r="D448" s="18">
        <v>45973</v>
      </c>
      <c r="E448" s="14">
        <v>1492</v>
      </c>
      <c r="F448" s="14" t="s">
        <v>1119</v>
      </c>
      <c r="G448" s="14" t="s">
        <v>1120</v>
      </c>
      <c r="H448" s="15">
        <f>IFERROR(VLOOKUP(B448,Orders!$A:$I,6,0),"")</f>
        <v>312.49</v>
      </c>
      <c r="I448" s="14" t="str">
        <f>IFERROR(VLOOKUP(B448,Orders!$A:$I,8,0),"")</f>
        <v>FOB Destination</v>
      </c>
      <c r="J448" s="16">
        <f t="shared" si="15"/>
        <v>45973</v>
      </c>
      <c r="K448" s="15">
        <f t="shared" si="14"/>
        <v>466235.08</v>
      </c>
      <c r="L448" s="14" t="str">
        <f>IF(H448="","Excluded - no order",IF(J448&lt;Assumptions!$B$3,"Pre-Q4",IF(J448&lt;=Assumptions!$B$4,"Q4 2025","Deferred Q1 2026")))</f>
        <v>Q4 2025</v>
      </c>
    </row>
    <row r="449" spans="1:12" ht="15" customHeight="1" x14ac:dyDescent="0.2">
      <c r="A449" s="14" t="s">
        <v>1121</v>
      </c>
      <c r="B449" s="14" t="s">
        <v>1122</v>
      </c>
      <c r="C449" s="18">
        <v>45993</v>
      </c>
      <c r="D449" s="18">
        <v>45999</v>
      </c>
      <c r="E449" s="14">
        <v>552</v>
      </c>
      <c r="F449" s="14" t="s">
        <v>1123</v>
      </c>
      <c r="G449" s="14" t="s">
        <v>1124</v>
      </c>
      <c r="H449" s="15">
        <f>IFERROR(VLOOKUP(B449,Orders!$A:$I,6,0),"")</f>
        <v>179.91</v>
      </c>
      <c r="I449" s="14" t="str">
        <f>IFERROR(VLOOKUP(B449,Orders!$A:$I,8,0),"")</f>
        <v>FOB Shipping Point</v>
      </c>
      <c r="J449" s="16">
        <f t="shared" si="15"/>
        <v>45993</v>
      </c>
      <c r="K449" s="15">
        <f t="shared" si="14"/>
        <v>99310.319999999992</v>
      </c>
      <c r="L449" s="14" t="str">
        <f>IF(H449="","Excluded - no order",IF(J449&lt;Assumptions!$B$3,"Pre-Q4",IF(J449&lt;=Assumptions!$B$4,"Q4 2025","Deferred Q1 2026")))</f>
        <v>Q4 2025</v>
      </c>
    </row>
    <row r="450" spans="1:12" ht="15" customHeight="1" x14ac:dyDescent="0.2">
      <c r="A450" s="14" t="s">
        <v>1125</v>
      </c>
      <c r="B450" s="14" t="s">
        <v>1126</v>
      </c>
      <c r="C450" s="18">
        <v>45956</v>
      </c>
      <c r="D450" s="18">
        <v>45960</v>
      </c>
      <c r="E450" s="14">
        <v>1140</v>
      </c>
      <c r="F450" s="14" t="s">
        <v>112</v>
      </c>
      <c r="G450" s="14" t="s">
        <v>113</v>
      </c>
      <c r="H450" s="15">
        <f>IFERROR(VLOOKUP(B450,Orders!$A:$I,6,0),"")</f>
        <v>484.51</v>
      </c>
      <c r="I450" s="14" t="str">
        <f>IFERROR(VLOOKUP(B450,Orders!$A:$I,8,0),"")</f>
        <v>FOB Destination</v>
      </c>
      <c r="J450" s="16">
        <f t="shared" si="15"/>
        <v>45960</v>
      </c>
      <c r="K450" s="15">
        <f t="shared" ref="K450:K513" si="16">IF(H450="",0,E450*H450)</f>
        <v>552341.4</v>
      </c>
      <c r="L450" s="14" t="str">
        <f>IF(H450="","Excluded - no order",IF(J450&lt;Assumptions!$B$3,"Pre-Q4",IF(J450&lt;=Assumptions!$B$4,"Q4 2025","Deferred Q1 2026")))</f>
        <v>Q4 2025</v>
      </c>
    </row>
    <row r="451" spans="1:12" ht="15" customHeight="1" x14ac:dyDescent="0.2">
      <c r="A451" s="14" t="s">
        <v>1127</v>
      </c>
      <c r="B451" s="14" t="s">
        <v>1128</v>
      </c>
      <c r="C451" s="18">
        <v>45978</v>
      </c>
      <c r="D451" s="18">
        <v>45983</v>
      </c>
      <c r="E451" s="14">
        <v>704</v>
      </c>
      <c r="F451" s="14" t="s">
        <v>233</v>
      </c>
      <c r="G451" s="14" t="s">
        <v>234</v>
      </c>
      <c r="H451" s="15">
        <f>IFERROR(VLOOKUP(B451,Orders!$A:$I,6,0),"")</f>
        <v>4.42</v>
      </c>
      <c r="I451" s="14" t="str">
        <f>IFERROR(VLOOKUP(B451,Orders!$A:$I,8,0),"")</f>
        <v>FOB Destination</v>
      </c>
      <c r="J451" s="16">
        <f t="shared" si="15"/>
        <v>45983</v>
      </c>
      <c r="K451" s="15">
        <f t="shared" si="16"/>
        <v>3111.68</v>
      </c>
      <c r="L451" s="14" t="str">
        <f>IF(H451="","Excluded - no order",IF(J451&lt;Assumptions!$B$3,"Pre-Q4",IF(J451&lt;=Assumptions!$B$4,"Q4 2025","Deferred Q1 2026")))</f>
        <v>Q4 2025</v>
      </c>
    </row>
    <row r="452" spans="1:12" ht="15" customHeight="1" x14ac:dyDescent="0.2">
      <c r="A452" s="14" t="s">
        <v>1129</v>
      </c>
      <c r="B452" s="14" t="s">
        <v>1130</v>
      </c>
      <c r="C452" s="18">
        <v>45959</v>
      </c>
      <c r="D452" s="18">
        <v>45964</v>
      </c>
      <c r="E452" s="14">
        <v>256</v>
      </c>
      <c r="F452" s="14" t="s">
        <v>122</v>
      </c>
      <c r="G452" s="14" t="s">
        <v>123</v>
      </c>
      <c r="H452" s="15">
        <f>IFERROR(VLOOKUP(B452,Orders!$A:$I,6,0),"")</f>
        <v>381.22</v>
      </c>
      <c r="I452" s="14" t="str">
        <f>IFERROR(VLOOKUP(B452,Orders!$A:$I,8,0),"")</f>
        <v>FOB Destination</v>
      </c>
      <c r="J452" s="16">
        <f t="shared" si="15"/>
        <v>45964</v>
      </c>
      <c r="K452" s="15">
        <f t="shared" si="16"/>
        <v>97592.320000000007</v>
      </c>
      <c r="L452" s="14" t="str">
        <f>IF(H452="","Excluded - no order",IF(J452&lt;Assumptions!$B$3,"Pre-Q4",IF(J452&lt;=Assumptions!$B$4,"Q4 2025","Deferred Q1 2026")))</f>
        <v>Q4 2025</v>
      </c>
    </row>
    <row r="453" spans="1:12" ht="15" customHeight="1" x14ac:dyDescent="0.2">
      <c r="A453" s="14" t="s">
        <v>1131</v>
      </c>
      <c r="B453" s="14" t="s">
        <v>1132</v>
      </c>
      <c r="C453" s="18">
        <v>45943</v>
      </c>
      <c r="D453" s="18">
        <v>45946</v>
      </c>
      <c r="E453" s="14">
        <v>1534</v>
      </c>
      <c r="F453" s="14" t="s">
        <v>262</v>
      </c>
      <c r="G453" s="14" t="s">
        <v>263</v>
      </c>
      <c r="H453" s="15">
        <f>IFERROR(VLOOKUP(B453,Orders!$A:$I,6,0),"")</f>
        <v>329.42</v>
      </c>
      <c r="I453" s="14" t="str">
        <f>IFERROR(VLOOKUP(B453,Orders!$A:$I,8,0),"")</f>
        <v>FOB Destination</v>
      </c>
      <c r="J453" s="16">
        <f t="shared" si="15"/>
        <v>45946</v>
      </c>
      <c r="K453" s="15">
        <f t="shared" si="16"/>
        <v>505330.28</v>
      </c>
      <c r="L453" s="14" t="str">
        <f>IF(H453="","Excluded - no order",IF(J453&lt;Assumptions!$B$3,"Pre-Q4",IF(J453&lt;=Assumptions!$B$4,"Q4 2025","Deferred Q1 2026")))</f>
        <v>Q4 2025</v>
      </c>
    </row>
    <row r="454" spans="1:12" ht="15" customHeight="1" x14ac:dyDescent="0.2">
      <c r="A454" s="14" t="s">
        <v>1133</v>
      </c>
      <c r="B454" s="14" t="s">
        <v>1134</v>
      </c>
      <c r="C454" s="18">
        <v>46006</v>
      </c>
      <c r="D454" s="18">
        <v>46010</v>
      </c>
      <c r="E454" s="14">
        <v>557</v>
      </c>
      <c r="F454" s="14" t="s">
        <v>149</v>
      </c>
      <c r="G454" s="14" t="s">
        <v>150</v>
      </c>
      <c r="H454" s="15">
        <f>IFERROR(VLOOKUP(B454,Orders!$A:$I,6,0),"")</f>
        <v>228.1</v>
      </c>
      <c r="I454" s="14" t="str">
        <f>IFERROR(VLOOKUP(B454,Orders!$A:$I,8,0),"")</f>
        <v>FOB Destination</v>
      </c>
      <c r="J454" s="16">
        <f t="shared" si="15"/>
        <v>46010</v>
      </c>
      <c r="K454" s="15">
        <f t="shared" si="16"/>
        <v>127051.7</v>
      </c>
      <c r="L454" s="14" t="str">
        <f>IF(H454="","Excluded - no order",IF(J454&lt;Assumptions!$B$3,"Pre-Q4",IF(J454&lt;=Assumptions!$B$4,"Q4 2025","Deferred Q1 2026")))</f>
        <v>Q4 2025</v>
      </c>
    </row>
    <row r="455" spans="1:12" ht="15" customHeight="1" x14ac:dyDescent="0.2">
      <c r="A455" s="14" t="s">
        <v>1135</v>
      </c>
      <c r="B455" s="14" t="s">
        <v>1136</v>
      </c>
      <c r="C455" s="18">
        <v>46006</v>
      </c>
      <c r="D455" s="18">
        <v>46012</v>
      </c>
      <c r="E455" s="14">
        <v>1926</v>
      </c>
      <c r="F455" s="14" t="s">
        <v>1137</v>
      </c>
      <c r="G455" s="14" t="s">
        <v>1138</v>
      </c>
      <c r="H455" s="15">
        <f>IFERROR(VLOOKUP(B455,Orders!$A:$I,6,0),"")</f>
        <v>248.78</v>
      </c>
      <c r="I455" s="14" t="str">
        <f>IFERROR(VLOOKUP(B455,Orders!$A:$I,8,0),"")</f>
        <v>FOB Destination</v>
      </c>
      <c r="J455" s="16">
        <f t="shared" ref="J455:J518" si="17">IF(I455="","",IF(I455="FOB Shipping Point",C455,D455))</f>
        <v>46012</v>
      </c>
      <c r="K455" s="15">
        <f t="shared" si="16"/>
        <v>479150.28</v>
      </c>
      <c r="L455" s="14" t="str">
        <f>IF(H455="","Excluded - no order",IF(J455&lt;Assumptions!$B$3,"Pre-Q4",IF(J455&lt;=Assumptions!$B$4,"Q4 2025","Deferred Q1 2026")))</f>
        <v>Q4 2025</v>
      </c>
    </row>
    <row r="456" spans="1:12" ht="15" customHeight="1" x14ac:dyDescent="0.2">
      <c r="A456" s="14" t="s">
        <v>1139</v>
      </c>
      <c r="B456" s="14" t="s">
        <v>1140</v>
      </c>
      <c r="C456" s="18">
        <v>46015</v>
      </c>
      <c r="D456" s="18">
        <v>46018</v>
      </c>
      <c r="E456" s="14">
        <v>848</v>
      </c>
      <c r="F456" s="14" t="s">
        <v>513</v>
      </c>
      <c r="G456" s="14" t="s">
        <v>514</v>
      </c>
      <c r="H456" s="15">
        <f>IFERROR(VLOOKUP(B456,Orders!$A:$I,6,0),"")</f>
        <v>163.69</v>
      </c>
      <c r="I456" s="14" t="str">
        <f>IFERROR(VLOOKUP(B456,Orders!$A:$I,8,0),"")</f>
        <v>FOB Destination</v>
      </c>
      <c r="J456" s="16">
        <f t="shared" si="17"/>
        <v>46018</v>
      </c>
      <c r="K456" s="15">
        <f t="shared" si="16"/>
        <v>138809.12</v>
      </c>
      <c r="L456" s="14" t="str">
        <f>IF(H456="","Excluded - no order",IF(J456&lt;Assumptions!$B$3,"Pre-Q4",IF(J456&lt;=Assumptions!$B$4,"Q4 2025","Deferred Q1 2026")))</f>
        <v>Q4 2025</v>
      </c>
    </row>
    <row r="457" spans="1:12" ht="15" customHeight="1" x14ac:dyDescent="0.2">
      <c r="A457" s="14" t="s">
        <v>1141</v>
      </c>
      <c r="B457" s="14" t="s">
        <v>1142</v>
      </c>
      <c r="C457" s="18">
        <v>45995</v>
      </c>
      <c r="D457" s="18">
        <v>45996</v>
      </c>
      <c r="E457" s="14">
        <v>473</v>
      </c>
      <c r="F457" s="14" t="s">
        <v>122</v>
      </c>
      <c r="G457" s="14" t="s">
        <v>123</v>
      </c>
      <c r="H457" s="15">
        <f>IFERROR(VLOOKUP(B457,Orders!$A:$I,6,0),"")</f>
        <v>163.9</v>
      </c>
      <c r="I457" s="14" t="str">
        <f>IFERROR(VLOOKUP(B457,Orders!$A:$I,8,0),"")</f>
        <v>FOB Shipping Point</v>
      </c>
      <c r="J457" s="16">
        <f t="shared" si="17"/>
        <v>45995</v>
      </c>
      <c r="K457" s="15">
        <f t="shared" si="16"/>
        <v>77524.7</v>
      </c>
      <c r="L457" s="14" t="str">
        <f>IF(H457="","Excluded - no order",IF(J457&lt;Assumptions!$B$3,"Pre-Q4",IF(J457&lt;=Assumptions!$B$4,"Q4 2025","Deferred Q1 2026")))</f>
        <v>Q4 2025</v>
      </c>
    </row>
    <row r="458" spans="1:12" ht="15" customHeight="1" x14ac:dyDescent="0.2">
      <c r="A458" s="14" t="s">
        <v>1143</v>
      </c>
      <c r="B458" s="14" t="s">
        <v>1144</v>
      </c>
      <c r="C458" s="18">
        <v>46019</v>
      </c>
      <c r="D458" s="18">
        <v>46022</v>
      </c>
      <c r="E458" s="14">
        <v>930</v>
      </c>
      <c r="F458" s="14" t="s">
        <v>277</v>
      </c>
      <c r="G458" s="14" t="s">
        <v>278</v>
      </c>
      <c r="H458" s="15">
        <f>IFERROR(VLOOKUP(B458,Orders!$A:$I,6,0),"")</f>
        <v>52.34</v>
      </c>
      <c r="I458" s="14" t="str">
        <f>IFERROR(VLOOKUP(B458,Orders!$A:$I,8,0),"")</f>
        <v>FOB Destination</v>
      </c>
      <c r="J458" s="16">
        <f t="shared" si="17"/>
        <v>46022</v>
      </c>
      <c r="K458" s="15">
        <f t="shared" si="16"/>
        <v>48676.200000000004</v>
      </c>
      <c r="L458" s="14" t="str">
        <f>IF(H458="","Excluded - no order",IF(J458&lt;Assumptions!$B$3,"Pre-Q4",IF(J458&lt;=Assumptions!$B$4,"Q4 2025","Deferred Q1 2026")))</f>
        <v>Q4 2025</v>
      </c>
    </row>
    <row r="459" spans="1:12" ht="15" customHeight="1" x14ac:dyDescent="0.2">
      <c r="A459" s="14" t="s">
        <v>1145</v>
      </c>
      <c r="B459" s="14" t="s">
        <v>1146</v>
      </c>
      <c r="C459" s="18">
        <v>45986</v>
      </c>
      <c r="D459" s="18">
        <v>45992</v>
      </c>
      <c r="E459" s="14">
        <v>963</v>
      </c>
      <c r="F459" s="14" t="s">
        <v>284</v>
      </c>
      <c r="G459" s="14" t="s">
        <v>285</v>
      </c>
      <c r="H459" s="15">
        <f>IFERROR(VLOOKUP(B459,Orders!$A:$I,6,0),"")</f>
        <v>99.31</v>
      </c>
      <c r="I459" s="14" t="str">
        <f>IFERROR(VLOOKUP(B459,Orders!$A:$I,8,0),"")</f>
        <v>FOB Shipping Point</v>
      </c>
      <c r="J459" s="16">
        <f t="shared" si="17"/>
        <v>45986</v>
      </c>
      <c r="K459" s="15">
        <f t="shared" si="16"/>
        <v>95635.53</v>
      </c>
      <c r="L459" s="14" t="str">
        <f>IF(H459="","Excluded - no order",IF(J459&lt;Assumptions!$B$3,"Pre-Q4",IF(J459&lt;=Assumptions!$B$4,"Q4 2025","Deferred Q1 2026")))</f>
        <v>Q4 2025</v>
      </c>
    </row>
    <row r="460" spans="1:12" ht="15" customHeight="1" x14ac:dyDescent="0.2">
      <c r="A460" s="14" t="s">
        <v>1147</v>
      </c>
      <c r="B460" s="14" t="s">
        <v>1148</v>
      </c>
      <c r="C460" s="18">
        <v>45993</v>
      </c>
      <c r="D460" s="18">
        <v>45999</v>
      </c>
      <c r="E460" s="14">
        <v>1396</v>
      </c>
      <c r="F460" s="14" t="s">
        <v>1149</v>
      </c>
      <c r="G460" s="14" t="s">
        <v>1150</v>
      </c>
      <c r="H460" s="15">
        <f>IFERROR(VLOOKUP(B460,Orders!$A:$I,6,0),"")</f>
        <v>141.93</v>
      </c>
      <c r="I460" s="14" t="str">
        <f>IFERROR(VLOOKUP(B460,Orders!$A:$I,8,0),"")</f>
        <v>FOB Destination</v>
      </c>
      <c r="J460" s="16">
        <f t="shared" si="17"/>
        <v>45999</v>
      </c>
      <c r="K460" s="15">
        <f t="shared" si="16"/>
        <v>198134.28</v>
      </c>
      <c r="L460" s="14" t="str">
        <f>IF(H460="","Excluded - no order",IF(J460&lt;Assumptions!$B$3,"Pre-Q4",IF(J460&lt;=Assumptions!$B$4,"Q4 2025","Deferred Q1 2026")))</f>
        <v>Q4 2025</v>
      </c>
    </row>
    <row r="461" spans="1:12" ht="15" customHeight="1" x14ac:dyDescent="0.2">
      <c r="A461" s="14" t="s">
        <v>1151</v>
      </c>
      <c r="B461" s="14" t="s">
        <v>1152</v>
      </c>
      <c r="C461" s="18">
        <v>46015</v>
      </c>
      <c r="D461" s="18">
        <v>46019</v>
      </c>
      <c r="E461" s="14">
        <v>1256</v>
      </c>
      <c r="F461" s="14" t="s">
        <v>77</v>
      </c>
      <c r="G461" s="14" t="s">
        <v>78</v>
      </c>
      <c r="H461" s="15">
        <f>IFERROR(VLOOKUP(B461,Orders!$A:$I,6,0),"")</f>
        <v>388.02</v>
      </c>
      <c r="I461" s="14" t="str">
        <f>IFERROR(VLOOKUP(B461,Orders!$A:$I,8,0),"")</f>
        <v>FOB Destination</v>
      </c>
      <c r="J461" s="16">
        <f t="shared" si="17"/>
        <v>46019</v>
      </c>
      <c r="K461" s="15">
        <f t="shared" si="16"/>
        <v>487353.12</v>
      </c>
      <c r="L461" s="14" t="str">
        <f>IF(H461="","Excluded - no order",IF(J461&lt;Assumptions!$B$3,"Pre-Q4",IF(J461&lt;=Assumptions!$B$4,"Q4 2025","Deferred Q1 2026")))</f>
        <v>Q4 2025</v>
      </c>
    </row>
    <row r="462" spans="1:12" ht="15" customHeight="1" x14ac:dyDescent="0.2">
      <c r="A462" s="14" t="s">
        <v>1153</v>
      </c>
      <c r="B462" s="14" t="s">
        <v>1154</v>
      </c>
      <c r="C462" s="18">
        <v>45974</v>
      </c>
      <c r="D462" s="18">
        <v>45979</v>
      </c>
      <c r="E462" s="14">
        <v>1642</v>
      </c>
      <c r="F462" s="14" t="s">
        <v>292</v>
      </c>
      <c r="G462" s="14" t="s">
        <v>293</v>
      </c>
      <c r="H462" s="15">
        <f>IFERROR(VLOOKUP(B462,Orders!$A:$I,6,0),"")</f>
        <v>267.82</v>
      </c>
      <c r="I462" s="14" t="str">
        <f>IFERROR(VLOOKUP(B462,Orders!$A:$I,8,0),"")</f>
        <v>FOB Destination</v>
      </c>
      <c r="J462" s="16">
        <f t="shared" si="17"/>
        <v>45979</v>
      </c>
      <c r="K462" s="15">
        <f t="shared" si="16"/>
        <v>439760.44</v>
      </c>
      <c r="L462" s="14" t="str">
        <f>IF(H462="","Excluded - no order",IF(J462&lt;Assumptions!$B$3,"Pre-Q4",IF(J462&lt;=Assumptions!$B$4,"Q4 2025","Deferred Q1 2026")))</f>
        <v>Q4 2025</v>
      </c>
    </row>
    <row r="463" spans="1:12" ht="15" customHeight="1" x14ac:dyDescent="0.2">
      <c r="A463" s="14" t="s">
        <v>1155</v>
      </c>
      <c r="B463" s="14" t="s">
        <v>1156</v>
      </c>
      <c r="C463" s="18">
        <v>45985</v>
      </c>
      <c r="D463" s="18">
        <v>45988</v>
      </c>
      <c r="E463" s="14">
        <v>368</v>
      </c>
      <c r="F463" s="14" t="s">
        <v>149</v>
      </c>
      <c r="G463" s="14" t="s">
        <v>150</v>
      </c>
      <c r="H463" s="15">
        <f>IFERROR(VLOOKUP(B463,Orders!$A:$I,6,0),"")</f>
        <v>85.45</v>
      </c>
      <c r="I463" s="14" t="str">
        <f>IFERROR(VLOOKUP(B463,Orders!$A:$I,8,0),"")</f>
        <v>FOB Destination</v>
      </c>
      <c r="J463" s="16">
        <f t="shared" si="17"/>
        <v>45988</v>
      </c>
      <c r="K463" s="15">
        <f t="shared" si="16"/>
        <v>31445.600000000002</v>
      </c>
      <c r="L463" s="14" t="str">
        <f>IF(H463="","Excluded - no order",IF(J463&lt;Assumptions!$B$3,"Pre-Q4",IF(J463&lt;=Assumptions!$B$4,"Q4 2025","Deferred Q1 2026")))</f>
        <v>Q4 2025</v>
      </c>
    </row>
    <row r="464" spans="1:12" ht="15" customHeight="1" x14ac:dyDescent="0.2">
      <c r="A464" s="14" t="s">
        <v>1157</v>
      </c>
      <c r="B464" s="14" t="s">
        <v>1156</v>
      </c>
      <c r="C464" s="18">
        <v>45987</v>
      </c>
      <c r="D464" s="18">
        <v>45990</v>
      </c>
      <c r="E464" s="14">
        <v>278</v>
      </c>
      <c r="F464" s="14" t="s">
        <v>73</v>
      </c>
      <c r="G464" s="14" t="s">
        <v>74</v>
      </c>
      <c r="H464" s="15">
        <f>IFERROR(VLOOKUP(B464,Orders!$A:$I,6,0),"")</f>
        <v>85.45</v>
      </c>
      <c r="I464" s="14" t="str">
        <f>IFERROR(VLOOKUP(B464,Orders!$A:$I,8,0),"")</f>
        <v>FOB Destination</v>
      </c>
      <c r="J464" s="16">
        <f t="shared" si="17"/>
        <v>45990</v>
      </c>
      <c r="K464" s="15">
        <f t="shared" si="16"/>
        <v>23755.100000000002</v>
      </c>
      <c r="L464" s="14" t="str">
        <f>IF(H464="","Excluded - no order",IF(J464&lt;Assumptions!$B$3,"Pre-Q4",IF(J464&lt;=Assumptions!$B$4,"Q4 2025","Deferred Q1 2026")))</f>
        <v>Q4 2025</v>
      </c>
    </row>
    <row r="465" spans="1:12" ht="15" customHeight="1" x14ac:dyDescent="0.2">
      <c r="A465" s="14" t="s">
        <v>1158</v>
      </c>
      <c r="B465" s="14" t="s">
        <v>1159</v>
      </c>
      <c r="C465" s="18">
        <v>45961</v>
      </c>
      <c r="D465" s="18">
        <v>45966</v>
      </c>
      <c r="E465" s="14">
        <v>520</v>
      </c>
      <c r="F465" s="14" t="s">
        <v>118</v>
      </c>
      <c r="G465" s="14" t="s">
        <v>119</v>
      </c>
      <c r="H465" s="15">
        <f>IFERROR(VLOOKUP(B465,Orders!$A:$I,6,0),"")</f>
        <v>43.98</v>
      </c>
      <c r="I465" s="14" t="str">
        <f>IFERROR(VLOOKUP(B465,Orders!$A:$I,8,0),"")</f>
        <v>FOB Destination</v>
      </c>
      <c r="J465" s="16">
        <f t="shared" si="17"/>
        <v>45966</v>
      </c>
      <c r="K465" s="15">
        <f t="shared" si="16"/>
        <v>22869.599999999999</v>
      </c>
      <c r="L465" s="14" t="str">
        <f>IF(H465="","Excluded - no order",IF(J465&lt;Assumptions!$B$3,"Pre-Q4",IF(J465&lt;=Assumptions!$B$4,"Q4 2025","Deferred Q1 2026")))</f>
        <v>Q4 2025</v>
      </c>
    </row>
    <row r="466" spans="1:12" ht="15" customHeight="1" x14ac:dyDescent="0.2">
      <c r="A466" s="14" t="s">
        <v>1160</v>
      </c>
      <c r="B466" s="14" t="s">
        <v>1161</v>
      </c>
      <c r="C466" s="18">
        <v>46013</v>
      </c>
      <c r="D466" s="18">
        <v>46018</v>
      </c>
      <c r="E466" s="14">
        <v>1405</v>
      </c>
      <c r="F466" s="14" t="s">
        <v>77</v>
      </c>
      <c r="G466" s="14" t="s">
        <v>78</v>
      </c>
      <c r="H466" s="15">
        <f>IFERROR(VLOOKUP(B466,Orders!$A:$I,6,0),"")</f>
        <v>446.28</v>
      </c>
      <c r="I466" s="14" t="str">
        <f>IFERROR(VLOOKUP(B466,Orders!$A:$I,8,0),"")</f>
        <v>FOB Destination</v>
      </c>
      <c r="J466" s="16">
        <f t="shared" si="17"/>
        <v>46018</v>
      </c>
      <c r="K466" s="15">
        <f t="shared" si="16"/>
        <v>627023.39999999991</v>
      </c>
      <c r="L466" s="14" t="str">
        <f>IF(H466="","Excluded - no order",IF(J466&lt;Assumptions!$B$3,"Pre-Q4",IF(J466&lt;=Assumptions!$B$4,"Q4 2025","Deferred Q1 2026")))</f>
        <v>Q4 2025</v>
      </c>
    </row>
    <row r="467" spans="1:12" ht="15" customHeight="1" x14ac:dyDescent="0.2">
      <c r="A467" s="14" t="s">
        <v>1162</v>
      </c>
      <c r="B467" s="14" t="s">
        <v>1163</v>
      </c>
      <c r="C467" s="18">
        <v>45985</v>
      </c>
      <c r="D467" s="18">
        <v>45986</v>
      </c>
      <c r="E467" s="14">
        <v>1566</v>
      </c>
      <c r="F467" s="14" t="s">
        <v>77</v>
      </c>
      <c r="G467" s="14" t="s">
        <v>78</v>
      </c>
      <c r="H467" s="15">
        <f>IFERROR(VLOOKUP(B467,Orders!$A:$I,6,0),"")</f>
        <v>443.35</v>
      </c>
      <c r="I467" s="14" t="str">
        <f>IFERROR(VLOOKUP(B467,Orders!$A:$I,8,0),"")</f>
        <v>FOB Shipping Point</v>
      </c>
      <c r="J467" s="16">
        <f t="shared" si="17"/>
        <v>45985</v>
      </c>
      <c r="K467" s="15">
        <f t="shared" si="16"/>
        <v>694286.10000000009</v>
      </c>
      <c r="L467" s="14" t="str">
        <f>IF(H467="","Excluded - no order",IF(J467&lt;Assumptions!$B$3,"Pre-Q4",IF(J467&lt;=Assumptions!$B$4,"Q4 2025","Deferred Q1 2026")))</f>
        <v>Q4 2025</v>
      </c>
    </row>
    <row r="468" spans="1:12" ht="15" customHeight="1" x14ac:dyDescent="0.2">
      <c r="A468" s="14" t="s">
        <v>1164</v>
      </c>
      <c r="B468" s="14" t="s">
        <v>1165</v>
      </c>
      <c r="C468" s="18">
        <v>46019</v>
      </c>
      <c r="D468" s="18">
        <v>46022</v>
      </c>
      <c r="E468" s="14">
        <v>538</v>
      </c>
      <c r="F468" s="14" t="s">
        <v>122</v>
      </c>
      <c r="G468" s="14" t="s">
        <v>123</v>
      </c>
      <c r="H468" s="15">
        <f>IFERROR(VLOOKUP(B468,Orders!$A:$I,6,0),"")</f>
        <v>464.22</v>
      </c>
      <c r="I468" s="14" t="str">
        <f>IFERROR(VLOOKUP(B468,Orders!$A:$I,8,0),"")</f>
        <v>FOB Shipping Point</v>
      </c>
      <c r="J468" s="16">
        <f t="shared" si="17"/>
        <v>46019</v>
      </c>
      <c r="K468" s="15">
        <f t="shared" si="16"/>
        <v>249750.36000000002</v>
      </c>
      <c r="L468" s="14" t="str">
        <f>IF(H468="","Excluded - no order",IF(J468&lt;Assumptions!$B$3,"Pre-Q4",IF(J468&lt;=Assumptions!$B$4,"Q4 2025","Deferred Q1 2026")))</f>
        <v>Q4 2025</v>
      </c>
    </row>
    <row r="469" spans="1:12" ht="15" customHeight="1" x14ac:dyDescent="0.2">
      <c r="A469" s="14" t="s">
        <v>1166</v>
      </c>
      <c r="B469" s="14" t="s">
        <v>1167</v>
      </c>
      <c r="C469" s="18">
        <v>45982</v>
      </c>
      <c r="D469" s="18">
        <v>45983</v>
      </c>
      <c r="E469" s="14">
        <v>1579</v>
      </c>
      <c r="F469" s="14" t="s">
        <v>100</v>
      </c>
      <c r="G469" s="14" t="s">
        <v>101</v>
      </c>
      <c r="H469" s="15">
        <f>IFERROR(VLOOKUP(B469,Orders!$A:$I,6,0),"")</f>
        <v>255.21</v>
      </c>
      <c r="I469" s="14" t="str">
        <f>IFERROR(VLOOKUP(B469,Orders!$A:$I,8,0),"")</f>
        <v>FOB Shipping Point</v>
      </c>
      <c r="J469" s="16">
        <f t="shared" si="17"/>
        <v>45982</v>
      </c>
      <c r="K469" s="15">
        <f t="shared" si="16"/>
        <v>402976.59</v>
      </c>
      <c r="L469" s="14" t="str">
        <f>IF(H469="","Excluded - no order",IF(J469&lt;Assumptions!$B$3,"Pre-Q4",IF(J469&lt;=Assumptions!$B$4,"Q4 2025","Deferred Q1 2026")))</f>
        <v>Q4 2025</v>
      </c>
    </row>
    <row r="470" spans="1:12" ht="15" customHeight="1" x14ac:dyDescent="0.2">
      <c r="A470" s="14" t="s">
        <v>1168</v>
      </c>
      <c r="B470" s="14" t="s">
        <v>1169</v>
      </c>
      <c r="C470" s="18">
        <v>45993</v>
      </c>
      <c r="D470" s="18">
        <v>45997</v>
      </c>
      <c r="E470" s="14">
        <v>1603</v>
      </c>
      <c r="F470" s="14" t="s">
        <v>302</v>
      </c>
      <c r="G470" s="14" t="s">
        <v>303</v>
      </c>
      <c r="H470" s="15">
        <f>IFERROR(VLOOKUP(B470,Orders!$A:$I,6,0),"")</f>
        <v>157.80000000000001</v>
      </c>
      <c r="I470" s="14" t="str">
        <f>IFERROR(VLOOKUP(B470,Orders!$A:$I,8,0),"")</f>
        <v>FOB Shipping Point</v>
      </c>
      <c r="J470" s="16">
        <f t="shared" si="17"/>
        <v>45993</v>
      </c>
      <c r="K470" s="15">
        <f t="shared" si="16"/>
        <v>252953.40000000002</v>
      </c>
      <c r="L470" s="14" t="str">
        <f>IF(H470="","Excluded - no order",IF(J470&lt;Assumptions!$B$3,"Pre-Q4",IF(J470&lt;=Assumptions!$B$4,"Q4 2025","Deferred Q1 2026")))</f>
        <v>Q4 2025</v>
      </c>
    </row>
    <row r="471" spans="1:12" ht="15" customHeight="1" x14ac:dyDescent="0.2">
      <c r="A471" s="14" t="s">
        <v>1170</v>
      </c>
      <c r="B471" s="14" t="s">
        <v>1171</v>
      </c>
      <c r="C471" s="18">
        <v>45976</v>
      </c>
      <c r="D471" s="18">
        <v>45982</v>
      </c>
      <c r="E471" s="14">
        <v>512</v>
      </c>
      <c r="F471" s="14" t="s">
        <v>521</v>
      </c>
      <c r="G471" s="14" t="s">
        <v>522</v>
      </c>
      <c r="H471" s="15">
        <f>IFERROR(VLOOKUP(B471,Orders!$A:$I,6,0),"")</f>
        <v>257.83</v>
      </c>
      <c r="I471" s="14" t="str">
        <f>IFERROR(VLOOKUP(B471,Orders!$A:$I,8,0),"")</f>
        <v>FOB Shipping Point</v>
      </c>
      <c r="J471" s="16">
        <f t="shared" si="17"/>
        <v>45976</v>
      </c>
      <c r="K471" s="15">
        <f t="shared" si="16"/>
        <v>132008.95999999999</v>
      </c>
      <c r="L471" s="14" t="str">
        <f>IF(H471="","Excluded - no order",IF(J471&lt;Assumptions!$B$3,"Pre-Q4",IF(J471&lt;=Assumptions!$B$4,"Q4 2025","Deferred Q1 2026")))</f>
        <v>Q4 2025</v>
      </c>
    </row>
    <row r="472" spans="1:12" ht="15" customHeight="1" x14ac:dyDescent="0.2">
      <c r="A472" s="14" t="s">
        <v>1172</v>
      </c>
      <c r="B472" s="14" t="s">
        <v>1173</v>
      </c>
      <c r="C472" s="18">
        <v>45977</v>
      </c>
      <c r="D472" s="18">
        <v>45982</v>
      </c>
      <c r="E472" s="14">
        <v>1031</v>
      </c>
      <c r="F472" s="14" t="s">
        <v>536</v>
      </c>
      <c r="G472" s="14" t="s">
        <v>537</v>
      </c>
      <c r="H472" s="15">
        <f>IFERROR(VLOOKUP(B472,Orders!$A:$I,6,0),"")</f>
        <v>26.64</v>
      </c>
      <c r="I472" s="14" t="str">
        <f>IFERROR(VLOOKUP(B472,Orders!$A:$I,8,0),"")</f>
        <v>FOB Destination</v>
      </c>
      <c r="J472" s="16">
        <f t="shared" si="17"/>
        <v>45982</v>
      </c>
      <c r="K472" s="15">
        <f t="shared" si="16"/>
        <v>27465.84</v>
      </c>
      <c r="L472" s="14" t="str">
        <f>IF(H472="","Excluded - no order",IF(J472&lt;Assumptions!$B$3,"Pre-Q4",IF(J472&lt;=Assumptions!$B$4,"Q4 2025","Deferred Q1 2026")))</f>
        <v>Q4 2025</v>
      </c>
    </row>
    <row r="473" spans="1:12" ht="15" customHeight="1" x14ac:dyDescent="0.2">
      <c r="A473" s="14" t="s">
        <v>1174</v>
      </c>
      <c r="B473" s="14" t="s">
        <v>1173</v>
      </c>
      <c r="C473" s="18">
        <v>45979</v>
      </c>
      <c r="D473" s="18">
        <v>45984</v>
      </c>
      <c r="E473" s="14">
        <v>813</v>
      </c>
      <c r="F473" s="14" t="s">
        <v>613</v>
      </c>
      <c r="G473" s="14" t="s">
        <v>614</v>
      </c>
      <c r="H473" s="15">
        <f>IFERROR(VLOOKUP(B473,Orders!$A:$I,6,0),"")</f>
        <v>26.64</v>
      </c>
      <c r="I473" s="14" t="str">
        <f>IFERROR(VLOOKUP(B473,Orders!$A:$I,8,0),"")</f>
        <v>FOB Destination</v>
      </c>
      <c r="J473" s="16">
        <f t="shared" si="17"/>
        <v>45984</v>
      </c>
      <c r="K473" s="15">
        <f t="shared" si="16"/>
        <v>21658.32</v>
      </c>
      <c r="L473" s="14" t="str">
        <f>IF(H473="","Excluded - no order",IF(J473&lt;Assumptions!$B$3,"Pre-Q4",IF(J473&lt;=Assumptions!$B$4,"Q4 2025","Deferred Q1 2026")))</f>
        <v>Q4 2025</v>
      </c>
    </row>
    <row r="474" spans="1:12" ht="15" customHeight="1" x14ac:dyDescent="0.2">
      <c r="A474" s="14" t="s">
        <v>1175</v>
      </c>
      <c r="B474" s="14" t="s">
        <v>1176</v>
      </c>
      <c r="C474" s="18">
        <v>46006</v>
      </c>
      <c r="D474" s="18">
        <v>46011</v>
      </c>
      <c r="E474" s="14">
        <v>156</v>
      </c>
      <c r="F474" s="14" t="s">
        <v>641</v>
      </c>
      <c r="G474" s="14" t="s">
        <v>642</v>
      </c>
      <c r="H474" s="15">
        <f>IFERROR(VLOOKUP(B474,Orders!$A:$I,6,0),"")</f>
        <v>431.77</v>
      </c>
      <c r="I474" s="14" t="str">
        <f>IFERROR(VLOOKUP(B474,Orders!$A:$I,8,0),"")</f>
        <v>FOB Shipping Point</v>
      </c>
      <c r="J474" s="16">
        <f t="shared" si="17"/>
        <v>46006</v>
      </c>
      <c r="K474" s="15">
        <f t="shared" si="16"/>
        <v>67356.12</v>
      </c>
      <c r="L474" s="14" t="str">
        <f>IF(H474="","Excluded - no order",IF(J474&lt;Assumptions!$B$3,"Pre-Q4",IF(J474&lt;=Assumptions!$B$4,"Q4 2025","Deferred Q1 2026")))</f>
        <v>Q4 2025</v>
      </c>
    </row>
    <row r="475" spans="1:12" ht="15" customHeight="1" x14ac:dyDescent="0.2">
      <c r="A475" s="14" t="s">
        <v>1177</v>
      </c>
      <c r="B475" s="14" t="s">
        <v>1178</v>
      </c>
      <c r="C475" s="18">
        <v>45970</v>
      </c>
      <c r="D475" s="18">
        <v>45976</v>
      </c>
      <c r="E475" s="14">
        <v>489</v>
      </c>
      <c r="F475" s="14" t="s">
        <v>319</v>
      </c>
      <c r="G475" s="14" t="s">
        <v>320</v>
      </c>
      <c r="H475" s="15">
        <f>IFERROR(VLOOKUP(B475,Orders!$A:$I,6,0),"")</f>
        <v>439</v>
      </c>
      <c r="I475" s="14" t="str">
        <f>IFERROR(VLOOKUP(B475,Orders!$A:$I,8,0),"")</f>
        <v>FOB Destination</v>
      </c>
      <c r="J475" s="16">
        <f t="shared" si="17"/>
        <v>45976</v>
      </c>
      <c r="K475" s="15">
        <f t="shared" si="16"/>
        <v>214671</v>
      </c>
      <c r="L475" s="14" t="str">
        <f>IF(H475="","Excluded - no order",IF(J475&lt;Assumptions!$B$3,"Pre-Q4",IF(J475&lt;=Assumptions!$B$4,"Q4 2025","Deferred Q1 2026")))</f>
        <v>Q4 2025</v>
      </c>
    </row>
    <row r="476" spans="1:12" ht="15" customHeight="1" x14ac:dyDescent="0.2">
      <c r="A476" s="14" t="s">
        <v>1179</v>
      </c>
      <c r="B476" s="14" t="s">
        <v>1178</v>
      </c>
      <c r="C476" s="18">
        <v>45972</v>
      </c>
      <c r="D476" s="18">
        <v>45978</v>
      </c>
      <c r="E476" s="14">
        <v>531</v>
      </c>
      <c r="F476" s="14" t="s">
        <v>368</v>
      </c>
      <c r="G476" s="14" t="s">
        <v>369</v>
      </c>
      <c r="H476" s="15">
        <f>IFERROR(VLOOKUP(B476,Orders!$A:$I,6,0),"")</f>
        <v>439</v>
      </c>
      <c r="I476" s="14" t="str">
        <f>IFERROR(VLOOKUP(B476,Orders!$A:$I,8,0),"")</f>
        <v>FOB Destination</v>
      </c>
      <c r="J476" s="16">
        <f t="shared" si="17"/>
        <v>45978</v>
      </c>
      <c r="K476" s="15">
        <f t="shared" si="16"/>
        <v>233109</v>
      </c>
      <c r="L476" s="14" t="str">
        <f>IF(H476="","Excluded - no order",IF(J476&lt;Assumptions!$B$3,"Pre-Q4",IF(J476&lt;=Assumptions!$B$4,"Q4 2025","Deferred Q1 2026")))</f>
        <v>Q4 2025</v>
      </c>
    </row>
    <row r="477" spans="1:12" ht="15" customHeight="1" x14ac:dyDescent="0.2">
      <c r="A477" s="14" t="s">
        <v>1180</v>
      </c>
      <c r="B477" s="14" t="s">
        <v>1181</v>
      </c>
      <c r="C477" s="18">
        <v>45947</v>
      </c>
      <c r="D477" s="18">
        <v>45953</v>
      </c>
      <c r="E477" s="14">
        <v>1196</v>
      </c>
      <c r="F477" s="14" t="s">
        <v>149</v>
      </c>
      <c r="G477" s="14" t="s">
        <v>150</v>
      </c>
      <c r="H477" s="15">
        <f>IFERROR(VLOOKUP(B477,Orders!$A:$I,6,0),"")</f>
        <v>108.68</v>
      </c>
      <c r="I477" s="14" t="str">
        <f>IFERROR(VLOOKUP(B477,Orders!$A:$I,8,0),"")</f>
        <v>FOB Destination</v>
      </c>
      <c r="J477" s="16">
        <f t="shared" si="17"/>
        <v>45953</v>
      </c>
      <c r="K477" s="15">
        <f t="shared" si="16"/>
        <v>129981.28000000001</v>
      </c>
      <c r="L477" s="14" t="str">
        <f>IF(H477="","Excluded - no order",IF(J477&lt;Assumptions!$B$3,"Pre-Q4",IF(J477&lt;=Assumptions!$B$4,"Q4 2025","Deferred Q1 2026")))</f>
        <v>Q4 2025</v>
      </c>
    </row>
    <row r="478" spans="1:12" ht="15" customHeight="1" x14ac:dyDescent="0.2">
      <c r="A478" s="14" t="s">
        <v>1182</v>
      </c>
      <c r="B478" s="14" t="s">
        <v>1183</v>
      </c>
      <c r="C478" s="18">
        <v>45944</v>
      </c>
      <c r="D478" s="18">
        <v>45946</v>
      </c>
      <c r="E478" s="14">
        <v>62</v>
      </c>
      <c r="F478" s="14" t="s">
        <v>73</v>
      </c>
      <c r="G478" s="14" t="s">
        <v>74</v>
      </c>
      <c r="H478" s="15">
        <f>IFERROR(VLOOKUP(B478,Orders!$A:$I,6,0),"")</f>
        <v>406.32</v>
      </c>
      <c r="I478" s="14" t="str">
        <f>IFERROR(VLOOKUP(B478,Orders!$A:$I,8,0),"")</f>
        <v>FOB Shipping Point</v>
      </c>
      <c r="J478" s="16">
        <f t="shared" si="17"/>
        <v>45944</v>
      </c>
      <c r="K478" s="15">
        <f t="shared" si="16"/>
        <v>25191.84</v>
      </c>
      <c r="L478" s="14" t="str">
        <f>IF(H478="","Excluded - no order",IF(J478&lt;Assumptions!$B$3,"Pre-Q4",IF(J478&lt;=Assumptions!$B$4,"Q4 2025","Deferred Q1 2026")))</f>
        <v>Q4 2025</v>
      </c>
    </row>
    <row r="479" spans="1:12" ht="15" customHeight="1" x14ac:dyDescent="0.2">
      <c r="A479" s="14" t="s">
        <v>1184</v>
      </c>
      <c r="B479" s="14" t="s">
        <v>1185</v>
      </c>
      <c r="C479" s="18">
        <v>46008</v>
      </c>
      <c r="D479" s="18">
        <v>46009</v>
      </c>
      <c r="E479" s="14">
        <v>189</v>
      </c>
      <c r="F479" s="14" t="s">
        <v>73</v>
      </c>
      <c r="G479" s="14" t="s">
        <v>74</v>
      </c>
      <c r="H479" s="15">
        <f>IFERROR(VLOOKUP(B479,Orders!$A:$I,6,0),"")</f>
        <v>140.5</v>
      </c>
      <c r="I479" s="14" t="str">
        <f>IFERROR(VLOOKUP(B479,Orders!$A:$I,8,0),"")</f>
        <v>FOB Shipping Point</v>
      </c>
      <c r="J479" s="16">
        <f t="shared" si="17"/>
        <v>46008</v>
      </c>
      <c r="K479" s="15">
        <f t="shared" si="16"/>
        <v>26554.5</v>
      </c>
      <c r="L479" s="14" t="str">
        <f>IF(H479="","Excluded - no order",IF(J479&lt;Assumptions!$B$3,"Pre-Q4",IF(J479&lt;=Assumptions!$B$4,"Q4 2025","Deferred Q1 2026")))</f>
        <v>Q4 2025</v>
      </c>
    </row>
    <row r="480" spans="1:12" ht="15" customHeight="1" x14ac:dyDescent="0.2">
      <c r="A480" s="14" t="s">
        <v>1186</v>
      </c>
      <c r="B480" s="14" t="s">
        <v>1187</v>
      </c>
      <c r="C480" s="18">
        <v>46022</v>
      </c>
      <c r="D480" s="18">
        <v>46024</v>
      </c>
      <c r="E480" s="14">
        <v>835</v>
      </c>
      <c r="F480" s="14" t="s">
        <v>100</v>
      </c>
      <c r="G480" s="14" t="s">
        <v>101</v>
      </c>
      <c r="H480" s="15">
        <f>IFERROR(VLOOKUP(B480,Orders!$A:$I,6,0),"")</f>
        <v>45.54</v>
      </c>
      <c r="I480" s="14" t="str">
        <f>IFERROR(VLOOKUP(B480,Orders!$A:$I,8,0),"")</f>
        <v>FOB Shipping Point</v>
      </c>
      <c r="J480" s="16">
        <f t="shared" si="17"/>
        <v>46022</v>
      </c>
      <c r="K480" s="15">
        <f t="shared" si="16"/>
        <v>38025.9</v>
      </c>
      <c r="L480" s="14" t="str">
        <f>IF(H480="","Excluded - no order",IF(J480&lt;Assumptions!$B$3,"Pre-Q4",IF(J480&lt;=Assumptions!$B$4,"Q4 2025","Deferred Q1 2026")))</f>
        <v>Q4 2025</v>
      </c>
    </row>
    <row r="481" spans="1:12" ht="15" customHeight="1" x14ac:dyDescent="0.2">
      <c r="A481" s="14" t="s">
        <v>1188</v>
      </c>
      <c r="B481" s="14" t="s">
        <v>1187</v>
      </c>
      <c r="C481" s="18">
        <v>46031</v>
      </c>
      <c r="D481" s="18">
        <v>46037</v>
      </c>
      <c r="E481" s="14">
        <v>553</v>
      </c>
      <c r="F481" s="14" t="s">
        <v>112</v>
      </c>
      <c r="G481" s="14" t="s">
        <v>113</v>
      </c>
      <c r="H481" s="15">
        <f>IFERROR(VLOOKUP(B481,Orders!$A:$I,6,0),"")</f>
        <v>45.54</v>
      </c>
      <c r="I481" s="14" t="str">
        <f>IFERROR(VLOOKUP(B481,Orders!$A:$I,8,0),"")</f>
        <v>FOB Shipping Point</v>
      </c>
      <c r="J481" s="16">
        <f t="shared" si="17"/>
        <v>46031</v>
      </c>
      <c r="K481" s="15">
        <f t="shared" si="16"/>
        <v>25183.62</v>
      </c>
      <c r="L481" s="14" t="str">
        <f>IF(H481="","Excluded - no order",IF(J481&lt;Assumptions!$B$3,"Pre-Q4",IF(J481&lt;=Assumptions!$B$4,"Q4 2025","Deferred Q1 2026")))</f>
        <v>Deferred Q1 2026</v>
      </c>
    </row>
    <row r="482" spans="1:12" ht="15" customHeight="1" x14ac:dyDescent="0.2">
      <c r="A482" s="14" t="s">
        <v>1189</v>
      </c>
      <c r="B482" s="14" t="s">
        <v>1190</v>
      </c>
      <c r="C482" s="18">
        <v>45958</v>
      </c>
      <c r="D482" s="18">
        <v>45959</v>
      </c>
      <c r="E482" s="14">
        <v>794</v>
      </c>
      <c r="F482" s="14" t="s">
        <v>100</v>
      </c>
      <c r="G482" s="14" t="s">
        <v>101</v>
      </c>
      <c r="H482" s="15">
        <f>IFERROR(VLOOKUP(B482,Orders!$A:$I,6,0),"")</f>
        <v>151.72</v>
      </c>
      <c r="I482" s="14" t="str">
        <f>IFERROR(VLOOKUP(B482,Orders!$A:$I,8,0),"")</f>
        <v>FOB Destination</v>
      </c>
      <c r="J482" s="16">
        <f t="shared" si="17"/>
        <v>45959</v>
      </c>
      <c r="K482" s="15">
        <f t="shared" si="16"/>
        <v>120465.68</v>
      </c>
      <c r="L482" s="14" t="str">
        <f>IF(H482="","Excluded - no order",IF(J482&lt;Assumptions!$B$3,"Pre-Q4",IF(J482&lt;=Assumptions!$B$4,"Q4 2025","Deferred Q1 2026")))</f>
        <v>Q4 2025</v>
      </c>
    </row>
    <row r="483" spans="1:12" ht="15" customHeight="1" x14ac:dyDescent="0.2">
      <c r="A483" s="14" t="s">
        <v>1191</v>
      </c>
      <c r="B483" s="14" t="s">
        <v>1190</v>
      </c>
      <c r="C483" s="18">
        <v>45960</v>
      </c>
      <c r="D483" s="18">
        <v>45961</v>
      </c>
      <c r="E483" s="14">
        <v>680</v>
      </c>
      <c r="F483" s="14" t="s">
        <v>112</v>
      </c>
      <c r="G483" s="14" t="s">
        <v>113</v>
      </c>
      <c r="H483" s="15">
        <f>IFERROR(VLOOKUP(B483,Orders!$A:$I,6,0),"")</f>
        <v>151.72</v>
      </c>
      <c r="I483" s="14" t="str">
        <f>IFERROR(VLOOKUP(B483,Orders!$A:$I,8,0),"")</f>
        <v>FOB Destination</v>
      </c>
      <c r="J483" s="16">
        <f t="shared" si="17"/>
        <v>45961</v>
      </c>
      <c r="K483" s="15">
        <f t="shared" si="16"/>
        <v>103169.60000000001</v>
      </c>
      <c r="L483" s="14" t="str">
        <f>IF(H483="","Excluded - no order",IF(J483&lt;Assumptions!$B$3,"Pre-Q4",IF(J483&lt;=Assumptions!$B$4,"Q4 2025","Deferred Q1 2026")))</f>
        <v>Q4 2025</v>
      </c>
    </row>
    <row r="484" spans="1:12" ht="15" customHeight="1" x14ac:dyDescent="0.2">
      <c r="A484" s="14" t="s">
        <v>1192</v>
      </c>
      <c r="B484" s="14" t="s">
        <v>1193</v>
      </c>
      <c r="C484" s="18">
        <v>46019</v>
      </c>
      <c r="D484" s="18">
        <v>46028</v>
      </c>
      <c r="E484" s="14">
        <v>1191</v>
      </c>
      <c r="F484" s="14" t="s">
        <v>118</v>
      </c>
      <c r="G484" s="14" t="s">
        <v>119</v>
      </c>
      <c r="H484" s="15">
        <f>IFERROR(VLOOKUP(B484,Orders!$A:$I,6,0),"")</f>
        <v>116.72</v>
      </c>
      <c r="I484" s="14" t="str">
        <f>IFERROR(VLOOKUP(B484,Orders!$A:$I,8,0),"")</f>
        <v>FOB Shipping Point</v>
      </c>
      <c r="J484" s="16">
        <f t="shared" si="17"/>
        <v>46019</v>
      </c>
      <c r="K484" s="15">
        <f t="shared" si="16"/>
        <v>139013.51999999999</v>
      </c>
      <c r="L484" s="14" t="str">
        <f>IF(H484="","Excluded - no order",IF(J484&lt;Assumptions!$B$3,"Pre-Q4",IF(J484&lt;=Assumptions!$B$4,"Q4 2025","Deferred Q1 2026")))</f>
        <v>Q4 2025</v>
      </c>
    </row>
    <row r="485" spans="1:12" ht="15" customHeight="1" x14ac:dyDescent="0.2">
      <c r="A485" s="14" t="s">
        <v>1194</v>
      </c>
      <c r="B485" s="14" t="s">
        <v>1195</v>
      </c>
      <c r="C485" s="18">
        <v>46014</v>
      </c>
      <c r="D485" s="18">
        <v>46017</v>
      </c>
      <c r="E485" s="14">
        <v>1920</v>
      </c>
      <c r="F485" s="14" t="s">
        <v>77</v>
      </c>
      <c r="G485" s="14" t="s">
        <v>78</v>
      </c>
      <c r="H485" s="15">
        <f>IFERROR(VLOOKUP(B485,Orders!$A:$I,6,0),"")</f>
        <v>437.3</v>
      </c>
      <c r="I485" s="14" t="str">
        <f>IFERROR(VLOOKUP(B485,Orders!$A:$I,8,0),"")</f>
        <v>FOB Destination</v>
      </c>
      <c r="J485" s="16">
        <f t="shared" si="17"/>
        <v>46017</v>
      </c>
      <c r="K485" s="15">
        <f t="shared" si="16"/>
        <v>839616</v>
      </c>
      <c r="L485" s="14" t="str">
        <f>IF(H485="","Excluded - no order",IF(J485&lt;Assumptions!$B$3,"Pre-Q4",IF(J485&lt;=Assumptions!$B$4,"Q4 2025","Deferred Q1 2026")))</f>
        <v>Q4 2025</v>
      </c>
    </row>
    <row r="486" spans="1:12" ht="15" customHeight="1" x14ac:dyDescent="0.2">
      <c r="A486" s="14" t="s">
        <v>1196</v>
      </c>
      <c r="B486" s="14" t="s">
        <v>1197</v>
      </c>
      <c r="C486" s="18">
        <v>45961</v>
      </c>
      <c r="D486" s="18">
        <v>45966</v>
      </c>
      <c r="E486" s="14">
        <v>136</v>
      </c>
      <c r="F486" s="14" t="s">
        <v>118</v>
      </c>
      <c r="G486" s="14" t="s">
        <v>119</v>
      </c>
      <c r="H486" s="15">
        <f>IFERROR(VLOOKUP(B486,Orders!$A:$I,6,0),"")</f>
        <v>252.76</v>
      </c>
      <c r="I486" s="14" t="str">
        <f>IFERROR(VLOOKUP(B486,Orders!$A:$I,8,0),"")</f>
        <v>FOB Shipping Point</v>
      </c>
      <c r="J486" s="16">
        <f t="shared" si="17"/>
        <v>45961</v>
      </c>
      <c r="K486" s="15">
        <f t="shared" si="16"/>
        <v>34375.360000000001</v>
      </c>
      <c r="L486" s="14" t="str">
        <f>IF(H486="","Excluded - no order",IF(J486&lt;Assumptions!$B$3,"Pre-Q4",IF(J486&lt;=Assumptions!$B$4,"Q4 2025","Deferred Q1 2026")))</f>
        <v>Q4 2025</v>
      </c>
    </row>
    <row r="487" spans="1:12" ht="15" customHeight="1" x14ac:dyDescent="0.2">
      <c r="A487" s="14" t="s">
        <v>1198</v>
      </c>
      <c r="B487" s="14" t="s">
        <v>1199</v>
      </c>
      <c r="C487" s="18">
        <v>45982</v>
      </c>
      <c r="D487" s="18">
        <v>45985</v>
      </c>
      <c r="E487" s="14">
        <v>1614</v>
      </c>
      <c r="F487" s="14" t="s">
        <v>112</v>
      </c>
      <c r="G487" s="14" t="s">
        <v>113</v>
      </c>
      <c r="H487" s="15">
        <f>IFERROR(VLOOKUP(B487,Orders!$A:$I,6,0),"")</f>
        <v>98.44</v>
      </c>
      <c r="I487" s="14" t="str">
        <f>IFERROR(VLOOKUP(B487,Orders!$A:$I,8,0),"")</f>
        <v>FOB Shipping Point</v>
      </c>
      <c r="J487" s="16">
        <f t="shared" si="17"/>
        <v>45982</v>
      </c>
      <c r="K487" s="15">
        <f t="shared" si="16"/>
        <v>158882.16</v>
      </c>
      <c r="L487" s="14" t="str">
        <f>IF(H487="","Excluded - no order",IF(J487&lt;Assumptions!$B$3,"Pre-Q4",IF(J487&lt;=Assumptions!$B$4,"Q4 2025","Deferred Q1 2026")))</f>
        <v>Q4 2025</v>
      </c>
    </row>
    <row r="488" spans="1:12" ht="15" customHeight="1" x14ac:dyDescent="0.2">
      <c r="A488" s="14" t="s">
        <v>1200</v>
      </c>
      <c r="B488" s="14" t="s">
        <v>1201</v>
      </c>
      <c r="C488" s="18">
        <v>46003</v>
      </c>
      <c r="D488" s="18">
        <v>46008</v>
      </c>
      <c r="E488" s="14">
        <v>616</v>
      </c>
      <c r="F488" s="14" t="s">
        <v>645</v>
      </c>
      <c r="G488" s="14" t="s">
        <v>646</v>
      </c>
      <c r="H488" s="15">
        <f>IFERROR(VLOOKUP(B488,Orders!$A:$I,6,0),"")</f>
        <v>395.41</v>
      </c>
      <c r="I488" s="14" t="str">
        <f>IFERROR(VLOOKUP(B488,Orders!$A:$I,8,0),"")</f>
        <v>FOB Destination</v>
      </c>
      <c r="J488" s="16">
        <f t="shared" si="17"/>
        <v>46008</v>
      </c>
      <c r="K488" s="15">
        <f t="shared" si="16"/>
        <v>243572.56000000003</v>
      </c>
      <c r="L488" s="14" t="str">
        <f>IF(H488="","Excluded - no order",IF(J488&lt;Assumptions!$B$3,"Pre-Q4",IF(J488&lt;=Assumptions!$B$4,"Q4 2025","Deferred Q1 2026")))</f>
        <v>Q4 2025</v>
      </c>
    </row>
    <row r="489" spans="1:12" ht="15" customHeight="1" x14ac:dyDescent="0.2">
      <c r="A489" s="14" t="s">
        <v>1202</v>
      </c>
      <c r="B489" s="14" t="s">
        <v>1203</v>
      </c>
      <c r="C489" s="18">
        <v>45986</v>
      </c>
      <c r="D489" s="18">
        <v>45991</v>
      </c>
      <c r="E489" s="14">
        <v>1598</v>
      </c>
      <c r="F489" s="14" t="s">
        <v>651</v>
      </c>
      <c r="G489" s="14" t="s">
        <v>652</v>
      </c>
      <c r="H489" s="15">
        <f>IFERROR(VLOOKUP(B489,Orders!$A:$I,6,0),"")</f>
        <v>286.07</v>
      </c>
      <c r="I489" s="14" t="str">
        <f>IFERROR(VLOOKUP(B489,Orders!$A:$I,8,0),"")</f>
        <v>FOB Shipping Point</v>
      </c>
      <c r="J489" s="16">
        <f t="shared" si="17"/>
        <v>45986</v>
      </c>
      <c r="K489" s="15">
        <f t="shared" si="16"/>
        <v>457139.86</v>
      </c>
      <c r="L489" s="14" t="str">
        <f>IF(H489="","Excluded - no order",IF(J489&lt;Assumptions!$B$3,"Pre-Q4",IF(J489&lt;=Assumptions!$B$4,"Q4 2025","Deferred Q1 2026")))</f>
        <v>Q4 2025</v>
      </c>
    </row>
    <row r="490" spans="1:12" ht="15" customHeight="1" x14ac:dyDescent="0.2">
      <c r="A490" s="14" t="s">
        <v>1204</v>
      </c>
      <c r="B490" s="14" t="s">
        <v>1205</v>
      </c>
      <c r="C490" s="18">
        <v>46007</v>
      </c>
      <c r="D490" s="18">
        <v>46013</v>
      </c>
      <c r="E490" s="14">
        <v>834</v>
      </c>
      <c r="F490" s="14" t="s">
        <v>77</v>
      </c>
      <c r="G490" s="14" t="s">
        <v>78</v>
      </c>
      <c r="H490" s="15">
        <f>IFERROR(VLOOKUP(B490,Orders!$A:$I,6,0),"")</f>
        <v>69.28</v>
      </c>
      <c r="I490" s="14" t="str">
        <f>IFERROR(VLOOKUP(B490,Orders!$A:$I,8,0),"")</f>
        <v>FOB Shipping Point</v>
      </c>
      <c r="J490" s="16">
        <f t="shared" si="17"/>
        <v>46007</v>
      </c>
      <c r="K490" s="15">
        <f t="shared" si="16"/>
        <v>57779.520000000004</v>
      </c>
      <c r="L490" s="14" t="str">
        <f>IF(H490="","Excluded - no order",IF(J490&lt;Assumptions!$B$3,"Pre-Q4",IF(J490&lt;=Assumptions!$B$4,"Q4 2025","Deferred Q1 2026")))</f>
        <v>Q4 2025</v>
      </c>
    </row>
    <row r="491" spans="1:12" ht="15" customHeight="1" x14ac:dyDescent="0.2">
      <c r="A491" s="14" t="s">
        <v>1206</v>
      </c>
      <c r="B491" s="14" t="s">
        <v>1207</v>
      </c>
      <c r="C491" s="18">
        <v>45998</v>
      </c>
      <c r="D491" s="18">
        <v>46004</v>
      </c>
      <c r="E491" s="14">
        <v>1121</v>
      </c>
      <c r="F491" s="14" t="s">
        <v>122</v>
      </c>
      <c r="G491" s="14" t="s">
        <v>123</v>
      </c>
      <c r="H491" s="15">
        <f>IFERROR(VLOOKUP(B491,Orders!$A:$I,6,0),"")</f>
        <v>91.69</v>
      </c>
      <c r="I491" s="14" t="str">
        <f>IFERROR(VLOOKUP(B491,Orders!$A:$I,8,0),"")</f>
        <v>FOB Shipping Point</v>
      </c>
      <c r="J491" s="16">
        <f t="shared" si="17"/>
        <v>45998</v>
      </c>
      <c r="K491" s="15">
        <f t="shared" si="16"/>
        <v>102784.48999999999</v>
      </c>
      <c r="L491" s="14" t="str">
        <f>IF(H491="","Excluded - no order",IF(J491&lt;Assumptions!$B$3,"Pre-Q4",IF(J491&lt;=Assumptions!$B$4,"Q4 2025","Deferred Q1 2026")))</f>
        <v>Q4 2025</v>
      </c>
    </row>
    <row r="492" spans="1:12" ht="15" customHeight="1" x14ac:dyDescent="0.2">
      <c r="A492" s="14" t="s">
        <v>1208</v>
      </c>
      <c r="B492" s="14" t="s">
        <v>1209</v>
      </c>
      <c r="C492" s="18">
        <v>45953</v>
      </c>
      <c r="D492" s="18">
        <v>45955</v>
      </c>
      <c r="E492" s="14">
        <v>1040</v>
      </c>
      <c r="F492" s="14" t="s">
        <v>657</v>
      </c>
      <c r="G492" s="14" t="s">
        <v>658</v>
      </c>
      <c r="H492" s="15">
        <f>IFERROR(VLOOKUP(B492,Orders!$A:$I,6,0),"")</f>
        <v>436.37</v>
      </c>
      <c r="I492" s="14" t="str">
        <f>IFERROR(VLOOKUP(B492,Orders!$A:$I,8,0),"")</f>
        <v>FOB Destination</v>
      </c>
      <c r="J492" s="16">
        <f t="shared" si="17"/>
        <v>45955</v>
      </c>
      <c r="K492" s="15">
        <f t="shared" si="16"/>
        <v>453824.8</v>
      </c>
      <c r="L492" s="14" t="str">
        <f>IF(H492="","Excluded - no order",IF(J492&lt;Assumptions!$B$3,"Pre-Q4",IF(J492&lt;=Assumptions!$B$4,"Q4 2025","Deferred Q1 2026")))</f>
        <v>Q4 2025</v>
      </c>
    </row>
    <row r="493" spans="1:12" ht="15" customHeight="1" x14ac:dyDescent="0.2">
      <c r="A493" s="14" t="s">
        <v>1210</v>
      </c>
      <c r="B493" s="14" t="s">
        <v>1211</v>
      </c>
      <c r="C493" s="18">
        <v>45997</v>
      </c>
      <c r="D493" s="18">
        <v>46002</v>
      </c>
      <c r="E493" s="14">
        <v>1170</v>
      </c>
      <c r="F493" s="14" t="s">
        <v>118</v>
      </c>
      <c r="G493" s="14" t="s">
        <v>119</v>
      </c>
      <c r="H493" s="15">
        <f>IFERROR(VLOOKUP(B493,Orders!$A:$I,6,0),"")</f>
        <v>83.36</v>
      </c>
      <c r="I493" s="14" t="str">
        <f>IFERROR(VLOOKUP(B493,Orders!$A:$I,8,0),"")</f>
        <v>FOB Shipping Point</v>
      </c>
      <c r="J493" s="16">
        <f t="shared" si="17"/>
        <v>45997</v>
      </c>
      <c r="K493" s="15">
        <f t="shared" si="16"/>
        <v>97531.199999999997</v>
      </c>
      <c r="L493" s="14" t="str">
        <f>IF(H493="","Excluded - no order",IF(J493&lt;Assumptions!$B$3,"Pre-Q4",IF(J493&lt;=Assumptions!$B$4,"Q4 2025","Deferred Q1 2026")))</f>
        <v>Q4 2025</v>
      </c>
    </row>
    <row r="494" spans="1:12" ht="15" customHeight="1" x14ac:dyDescent="0.2">
      <c r="A494" s="14" t="s">
        <v>1212</v>
      </c>
      <c r="B494" s="14" t="s">
        <v>1213</v>
      </c>
      <c r="C494" s="18">
        <v>46019</v>
      </c>
      <c r="D494" s="18">
        <v>46022</v>
      </c>
      <c r="E494" s="14">
        <v>1588</v>
      </c>
      <c r="F494" s="14" t="s">
        <v>73</v>
      </c>
      <c r="G494" s="14" t="s">
        <v>74</v>
      </c>
      <c r="H494" s="15">
        <f>IFERROR(VLOOKUP(B494,Orders!$A:$I,6,0),"")</f>
        <v>83.11</v>
      </c>
      <c r="I494" s="14" t="str">
        <f>IFERROR(VLOOKUP(B494,Orders!$A:$I,8,0),"")</f>
        <v>FOB Shipping Point</v>
      </c>
      <c r="J494" s="16">
        <f t="shared" si="17"/>
        <v>46019</v>
      </c>
      <c r="K494" s="15">
        <f t="shared" si="16"/>
        <v>131978.68</v>
      </c>
      <c r="L494" s="14" t="str">
        <f>IF(H494="","Excluded - no order",IF(J494&lt;Assumptions!$B$3,"Pre-Q4",IF(J494&lt;=Assumptions!$B$4,"Q4 2025","Deferred Q1 2026")))</f>
        <v>Q4 2025</v>
      </c>
    </row>
    <row r="495" spans="1:12" ht="15" customHeight="1" x14ac:dyDescent="0.2">
      <c r="A495" s="14" t="s">
        <v>1214</v>
      </c>
      <c r="B495" s="14" t="s">
        <v>1215</v>
      </c>
      <c r="C495" s="18">
        <v>46013</v>
      </c>
      <c r="D495" s="18">
        <v>46014</v>
      </c>
      <c r="E495" s="14">
        <v>1082</v>
      </c>
      <c r="F495" s="14" t="s">
        <v>672</v>
      </c>
      <c r="G495" s="14" t="s">
        <v>673</v>
      </c>
      <c r="H495" s="15">
        <f>IFERROR(VLOOKUP(B495,Orders!$A:$I,6,0),"")</f>
        <v>379.54</v>
      </c>
      <c r="I495" s="14" t="str">
        <f>IFERROR(VLOOKUP(B495,Orders!$A:$I,8,0),"")</f>
        <v>FOB Shipping Point</v>
      </c>
      <c r="J495" s="16">
        <f t="shared" si="17"/>
        <v>46013</v>
      </c>
      <c r="K495" s="15">
        <f t="shared" si="16"/>
        <v>410662.28</v>
      </c>
      <c r="L495" s="14" t="str">
        <f>IF(H495="","Excluded - no order",IF(J495&lt;Assumptions!$B$3,"Pre-Q4",IF(J495&lt;=Assumptions!$B$4,"Q4 2025","Deferred Q1 2026")))</f>
        <v>Q4 2025</v>
      </c>
    </row>
    <row r="496" spans="1:12" ht="15" customHeight="1" x14ac:dyDescent="0.2">
      <c r="A496" s="14" t="s">
        <v>1216</v>
      </c>
      <c r="B496" s="14" t="s">
        <v>1215</v>
      </c>
      <c r="C496" s="18">
        <v>46015</v>
      </c>
      <c r="D496" s="18">
        <v>46016</v>
      </c>
      <c r="E496" s="14">
        <v>447</v>
      </c>
      <c r="F496" s="14" t="s">
        <v>676</v>
      </c>
      <c r="G496" s="14" t="s">
        <v>677</v>
      </c>
      <c r="H496" s="15">
        <f>IFERROR(VLOOKUP(B496,Orders!$A:$I,6,0),"")</f>
        <v>379.54</v>
      </c>
      <c r="I496" s="14" t="str">
        <f>IFERROR(VLOOKUP(B496,Orders!$A:$I,8,0),"")</f>
        <v>FOB Shipping Point</v>
      </c>
      <c r="J496" s="16">
        <f t="shared" si="17"/>
        <v>46015</v>
      </c>
      <c r="K496" s="15">
        <f t="shared" si="16"/>
        <v>169654.38</v>
      </c>
      <c r="L496" s="14" t="str">
        <f>IF(H496="","Excluded - no order",IF(J496&lt;Assumptions!$B$3,"Pre-Q4",IF(J496&lt;=Assumptions!$B$4,"Q4 2025","Deferred Q1 2026")))</f>
        <v>Q4 2025</v>
      </c>
    </row>
    <row r="497" spans="1:12" ht="15" customHeight="1" x14ac:dyDescent="0.2">
      <c r="A497" s="14" t="s">
        <v>1217</v>
      </c>
      <c r="B497" s="14" t="s">
        <v>1218</v>
      </c>
      <c r="C497" s="18">
        <v>45996</v>
      </c>
      <c r="D497" s="18">
        <v>46001</v>
      </c>
      <c r="E497" s="14">
        <v>506</v>
      </c>
      <c r="F497" s="14" t="s">
        <v>100</v>
      </c>
      <c r="G497" s="14" t="s">
        <v>101</v>
      </c>
      <c r="H497" s="15">
        <f>IFERROR(VLOOKUP(B497,Orders!$A:$I,6,0),"")</f>
        <v>22.12</v>
      </c>
      <c r="I497" s="14" t="str">
        <f>IFERROR(VLOOKUP(B497,Orders!$A:$I,8,0),"")</f>
        <v>FOB Shipping Point</v>
      </c>
      <c r="J497" s="16">
        <f t="shared" si="17"/>
        <v>45996</v>
      </c>
      <c r="K497" s="15">
        <f t="shared" si="16"/>
        <v>11192.720000000001</v>
      </c>
      <c r="L497" s="14" t="str">
        <f>IF(H497="","Excluded - no order",IF(J497&lt;Assumptions!$B$3,"Pre-Q4",IF(J497&lt;=Assumptions!$B$4,"Q4 2025","Deferred Q1 2026")))</f>
        <v>Q4 2025</v>
      </c>
    </row>
    <row r="498" spans="1:12" ht="15" customHeight="1" x14ac:dyDescent="0.2">
      <c r="A498" s="14" t="s">
        <v>1219</v>
      </c>
      <c r="B498" s="14" t="s">
        <v>1220</v>
      </c>
      <c r="C498" s="18">
        <v>46021</v>
      </c>
      <c r="D498" s="18">
        <v>46027</v>
      </c>
      <c r="E498" s="14">
        <v>682</v>
      </c>
      <c r="F498" s="14" t="s">
        <v>122</v>
      </c>
      <c r="G498" s="14" t="s">
        <v>123</v>
      </c>
      <c r="H498" s="15">
        <f>IFERROR(VLOOKUP(B498,Orders!$A:$I,6,0),"")</f>
        <v>141.91999999999999</v>
      </c>
      <c r="I498" s="14" t="str">
        <f>IFERROR(VLOOKUP(B498,Orders!$A:$I,8,0),"")</f>
        <v>FOB Shipping Point</v>
      </c>
      <c r="J498" s="16">
        <f t="shared" si="17"/>
        <v>46021</v>
      </c>
      <c r="K498" s="15">
        <f t="shared" si="16"/>
        <v>96789.439999999988</v>
      </c>
      <c r="L498" s="14" t="str">
        <f>IF(H498="","Excluded - no order",IF(J498&lt;Assumptions!$B$3,"Pre-Q4",IF(J498&lt;=Assumptions!$B$4,"Q4 2025","Deferred Q1 2026")))</f>
        <v>Q4 2025</v>
      </c>
    </row>
    <row r="499" spans="1:12" ht="15" customHeight="1" x14ac:dyDescent="0.2">
      <c r="A499" s="14" t="s">
        <v>1221</v>
      </c>
      <c r="B499" s="14" t="s">
        <v>1222</v>
      </c>
      <c r="C499" s="18">
        <v>45977</v>
      </c>
      <c r="D499" s="18">
        <v>45981</v>
      </c>
      <c r="E499" s="14">
        <v>495</v>
      </c>
      <c r="F499" s="14" t="s">
        <v>149</v>
      </c>
      <c r="G499" s="14" t="s">
        <v>150</v>
      </c>
      <c r="H499" s="15">
        <f>IFERROR(VLOOKUP(B499,Orders!$A:$I,6,0),"")</f>
        <v>295.39999999999998</v>
      </c>
      <c r="I499" s="14" t="str">
        <f>IFERROR(VLOOKUP(B499,Orders!$A:$I,8,0),"")</f>
        <v>FOB Shipping Point</v>
      </c>
      <c r="J499" s="16">
        <f t="shared" si="17"/>
        <v>45977</v>
      </c>
      <c r="K499" s="15">
        <f t="shared" si="16"/>
        <v>146223</v>
      </c>
      <c r="L499" s="14" t="str">
        <f>IF(H499="","Excluded - no order",IF(J499&lt;Assumptions!$B$3,"Pre-Q4",IF(J499&lt;=Assumptions!$B$4,"Q4 2025","Deferred Q1 2026")))</f>
        <v>Q4 2025</v>
      </c>
    </row>
    <row r="500" spans="1:12" ht="15" customHeight="1" x14ac:dyDescent="0.2">
      <c r="A500" s="14" t="s">
        <v>1223</v>
      </c>
      <c r="B500" s="14" t="s">
        <v>1224</v>
      </c>
      <c r="C500" s="18">
        <v>45982</v>
      </c>
      <c r="D500" s="18">
        <v>45983</v>
      </c>
      <c r="E500" s="14">
        <v>739</v>
      </c>
      <c r="F500" s="14" t="s">
        <v>73</v>
      </c>
      <c r="G500" s="14" t="s">
        <v>74</v>
      </c>
      <c r="H500" s="15">
        <f>IFERROR(VLOOKUP(B500,Orders!$A:$I,6,0),"")</f>
        <v>101.26</v>
      </c>
      <c r="I500" s="14" t="str">
        <f>IFERROR(VLOOKUP(B500,Orders!$A:$I,8,0),"")</f>
        <v>FOB Destination</v>
      </c>
      <c r="J500" s="16">
        <f t="shared" si="17"/>
        <v>45983</v>
      </c>
      <c r="K500" s="15">
        <f t="shared" si="16"/>
        <v>74831.14</v>
      </c>
      <c r="L500" s="14" t="str">
        <f>IF(H500="","Excluded - no order",IF(J500&lt;Assumptions!$B$3,"Pre-Q4",IF(J500&lt;=Assumptions!$B$4,"Q4 2025","Deferred Q1 2026")))</f>
        <v>Q4 2025</v>
      </c>
    </row>
    <row r="501" spans="1:12" ht="15" customHeight="1" x14ac:dyDescent="0.2">
      <c r="A501" s="14" t="s">
        <v>1225</v>
      </c>
      <c r="B501" s="14" t="s">
        <v>1226</v>
      </c>
      <c r="C501" s="18">
        <v>45994</v>
      </c>
      <c r="D501" s="18">
        <v>45996</v>
      </c>
      <c r="E501" s="14">
        <v>1410</v>
      </c>
      <c r="F501" s="14" t="s">
        <v>122</v>
      </c>
      <c r="G501" s="14" t="s">
        <v>123</v>
      </c>
      <c r="H501" s="15">
        <f>IFERROR(VLOOKUP(B501,Orders!$A:$I,6,0),"")</f>
        <v>439.75</v>
      </c>
      <c r="I501" s="14" t="str">
        <f>IFERROR(VLOOKUP(B501,Orders!$A:$I,8,0),"")</f>
        <v>FOB Destination</v>
      </c>
      <c r="J501" s="16">
        <f t="shared" si="17"/>
        <v>45996</v>
      </c>
      <c r="K501" s="15">
        <f t="shared" si="16"/>
        <v>620047.5</v>
      </c>
      <c r="L501" s="14" t="str">
        <f>IF(H501="","Excluded - no order",IF(J501&lt;Assumptions!$B$3,"Pre-Q4",IF(J501&lt;=Assumptions!$B$4,"Q4 2025","Deferred Q1 2026")))</f>
        <v>Q4 2025</v>
      </c>
    </row>
    <row r="502" spans="1:12" ht="15" customHeight="1" x14ac:dyDescent="0.2">
      <c r="A502" s="14" t="s">
        <v>1227</v>
      </c>
      <c r="B502" s="14" t="s">
        <v>1228</v>
      </c>
      <c r="C502" s="18">
        <v>45951</v>
      </c>
      <c r="D502" s="18">
        <v>45952</v>
      </c>
      <c r="E502" s="14">
        <v>339</v>
      </c>
      <c r="F502" s="14" t="s">
        <v>149</v>
      </c>
      <c r="G502" s="14" t="s">
        <v>150</v>
      </c>
      <c r="H502" s="15">
        <f>IFERROR(VLOOKUP(B502,Orders!$A:$I,6,0),"")</f>
        <v>346.39</v>
      </c>
      <c r="I502" s="14" t="str">
        <f>IFERROR(VLOOKUP(B502,Orders!$A:$I,8,0),"")</f>
        <v>FOB Shipping Point</v>
      </c>
      <c r="J502" s="16">
        <f t="shared" si="17"/>
        <v>45951</v>
      </c>
      <c r="K502" s="15">
        <f t="shared" si="16"/>
        <v>117426.20999999999</v>
      </c>
      <c r="L502" s="14" t="str">
        <f>IF(H502="","Excluded - no order",IF(J502&lt;Assumptions!$B$3,"Pre-Q4",IF(J502&lt;=Assumptions!$B$4,"Q4 2025","Deferred Q1 2026")))</f>
        <v>Q4 2025</v>
      </c>
    </row>
    <row r="503" spans="1:12" ht="15" customHeight="1" x14ac:dyDescent="0.2">
      <c r="A503" s="14" t="s">
        <v>1229</v>
      </c>
      <c r="B503" s="14" t="s">
        <v>1230</v>
      </c>
      <c r="C503" s="18">
        <v>46005</v>
      </c>
      <c r="D503" s="18">
        <v>46010</v>
      </c>
      <c r="E503" s="14">
        <v>680</v>
      </c>
      <c r="F503" s="14" t="s">
        <v>149</v>
      </c>
      <c r="G503" s="14" t="s">
        <v>150</v>
      </c>
      <c r="H503" s="15">
        <f>IFERROR(VLOOKUP(B503,Orders!$A:$I,6,0),"")</f>
        <v>389.25</v>
      </c>
      <c r="I503" s="14" t="str">
        <f>IFERROR(VLOOKUP(B503,Orders!$A:$I,8,0),"")</f>
        <v>FOB Shipping Point</v>
      </c>
      <c r="J503" s="16">
        <f t="shared" si="17"/>
        <v>46005</v>
      </c>
      <c r="K503" s="15">
        <f t="shared" si="16"/>
        <v>264690</v>
      </c>
      <c r="L503" s="14" t="str">
        <f>IF(H503="","Excluded - no order",IF(J503&lt;Assumptions!$B$3,"Pre-Q4",IF(J503&lt;=Assumptions!$B$4,"Q4 2025","Deferred Q1 2026")))</f>
        <v>Q4 2025</v>
      </c>
    </row>
    <row r="504" spans="1:12" ht="15" customHeight="1" x14ac:dyDescent="0.2">
      <c r="A504" s="14" t="s">
        <v>1231</v>
      </c>
      <c r="B504" s="14" t="s">
        <v>1232</v>
      </c>
      <c r="C504" s="18">
        <v>45960</v>
      </c>
      <c r="D504" s="18">
        <v>45962</v>
      </c>
      <c r="E504" s="14">
        <v>516</v>
      </c>
      <c r="F504" s="14" t="s">
        <v>73</v>
      </c>
      <c r="G504" s="14" t="s">
        <v>74</v>
      </c>
      <c r="H504" s="15">
        <f>IFERROR(VLOOKUP(B504,Orders!$A:$I,6,0),"")</f>
        <v>342.6</v>
      </c>
      <c r="I504" s="14" t="str">
        <f>IFERROR(VLOOKUP(B504,Orders!$A:$I,8,0),"")</f>
        <v>FOB Shipping Point</v>
      </c>
      <c r="J504" s="16">
        <f t="shared" si="17"/>
        <v>45960</v>
      </c>
      <c r="K504" s="15">
        <f t="shared" si="16"/>
        <v>176781.6</v>
      </c>
      <c r="L504" s="14" t="str">
        <f>IF(H504="","Excluded - no order",IF(J504&lt;Assumptions!$B$3,"Pre-Q4",IF(J504&lt;=Assumptions!$B$4,"Q4 2025","Deferred Q1 2026")))</f>
        <v>Q4 2025</v>
      </c>
    </row>
    <row r="505" spans="1:12" ht="15" customHeight="1" x14ac:dyDescent="0.2">
      <c r="A505" s="14" t="s">
        <v>1233</v>
      </c>
      <c r="B505" s="14" t="s">
        <v>1234</v>
      </c>
      <c r="C505" s="18">
        <v>45961</v>
      </c>
      <c r="D505" s="18">
        <v>45965</v>
      </c>
      <c r="E505" s="14">
        <v>1406</v>
      </c>
      <c r="F505" s="14" t="s">
        <v>77</v>
      </c>
      <c r="G505" s="14" t="s">
        <v>78</v>
      </c>
      <c r="H505" s="15">
        <f>IFERROR(VLOOKUP(B505,Orders!$A:$I,6,0),"")</f>
        <v>334.23</v>
      </c>
      <c r="I505" s="14" t="str">
        <f>IFERROR(VLOOKUP(B505,Orders!$A:$I,8,0),"")</f>
        <v>FOB Destination</v>
      </c>
      <c r="J505" s="16">
        <f t="shared" si="17"/>
        <v>45965</v>
      </c>
      <c r="K505" s="15">
        <f t="shared" si="16"/>
        <v>469927.38</v>
      </c>
      <c r="L505" s="14" t="str">
        <f>IF(H505="","Excluded - no order",IF(J505&lt;Assumptions!$B$3,"Pre-Q4",IF(J505&lt;=Assumptions!$B$4,"Q4 2025","Deferred Q1 2026")))</f>
        <v>Q4 2025</v>
      </c>
    </row>
    <row r="506" spans="1:12" ht="15" customHeight="1" x14ac:dyDescent="0.2">
      <c r="A506" s="14" t="s">
        <v>1235</v>
      </c>
      <c r="B506" s="14" t="s">
        <v>1234</v>
      </c>
      <c r="C506" s="18">
        <v>45963</v>
      </c>
      <c r="D506" s="18">
        <v>45967</v>
      </c>
      <c r="E506" s="14">
        <v>586</v>
      </c>
      <c r="F506" s="14" t="s">
        <v>77</v>
      </c>
      <c r="G506" s="14" t="s">
        <v>78</v>
      </c>
      <c r="H506" s="15">
        <f>IFERROR(VLOOKUP(B506,Orders!$A:$I,6,0),"")</f>
        <v>334.23</v>
      </c>
      <c r="I506" s="14" t="str">
        <f>IFERROR(VLOOKUP(B506,Orders!$A:$I,8,0),"")</f>
        <v>FOB Destination</v>
      </c>
      <c r="J506" s="16">
        <f t="shared" si="17"/>
        <v>45967</v>
      </c>
      <c r="K506" s="15">
        <f t="shared" si="16"/>
        <v>195858.78</v>
      </c>
      <c r="L506" s="14" t="str">
        <f>IF(H506="","Excluded - no order",IF(J506&lt;Assumptions!$B$3,"Pre-Q4",IF(J506&lt;=Assumptions!$B$4,"Q4 2025","Deferred Q1 2026")))</f>
        <v>Q4 2025</v>
      </c>
    </row>
    <row r="507" spans="1:12" ht="15" customHeight="1" x14ac:dyDescent="0.2">
      <c r="A507" s="14" t="s">
        <v>1236</v>
      </c>
      <c r="B507" s="14" t="s">
        <v>1237</v>
      </c>
      <c r="C507" s="18">
        <v>45957</v>
      </c>
      <c r="D507" s="18">
        <v>45960</v>
      </c>
      <c r="E507" s="14">
        <v>1358</v>
      </c>
      <c r="F507" s="14" t="s">
        <v>679</v>
      </c>
      <c r="G507" s="14" t="s">
        <v>680</v>
      </c>
      <c r="H507" s="15">
        <f>IFERROR(VLOOKUP(B507,Orders!$A:$I,6,0),"")</f>
        <v>300.43</v>
      </c>
      <c r="I507" s="14" t="str">
        <f>IFERROR(VLOOKUP(B507,Orders!$A:$I,8,0),"")</f>
        <v>FOB Shipping Point</v>
      </c>
      <c r="J507" s="16">
        <f t="shared" si="17"/>
        <v>45957</v>
      </c>
      <c r="K507" s="15">
        <f t="shared" si="16"/>
        <v>407983.94</v>
      </c>
      <c r="L507" s="14" t="str">
        <f>IF(H507="","Excluded - no order",IF(J507&lt;Assumptions!$B$3,"Pre-Q4",IF(J507&lt;=Assumptions!$B$4,"Q4 2025","Deferred Q1 2026")))</f>
        <v>Q4 2025</v>
      </c>
    </row>
    <row r="508" spans="1:12" ht="15" customHeight="1" x14ac:dyDescent="0.2">
      <c r="A508" s="14" t="s">
        <v>1238</v>
      </c>
      <c r="B508" s="14" t="s">
        <v>1239</v>
      </c>
      <c r="C508" s="18">
        <v>46002</v>
      </c>
      <c r="D508" s="18">
        <v>46004</v>
      </c>
      <c r="E508" s="14">
        <v>802</v>
      </c>
      <c r="F508" s="14" t="s">
        <v>697</v>
      </c>
      <c r="G508" s="14" t="s">
        <v>698</v>
      </c>
      <c r="H508" s="15">
        <f>IFERROR(VLOOKUP(B508,Orders!$A:$I,6,0),"")</f>
        <v>149.80000000000001</v>
      </c>
      <c r="I508" s="14" t="str">
        <f>IFERROR(VLOOKUP(B508,Orders!$A:$I,8,0),"")</f>
        <v>FOB Destination</v>
      </c>
      <c r="J508" s="16">
        <f t="shared" si="17"/>
        <v>46004</v>
      </c>
      <c r="K508" s="15">
        <f t="shared" si="16"/>
        <v>120139.6</v>
      </c>
      <c r="L508" s="14" t="str">
        <f>IF(H508="","Excluded - no order",IF(J508&lt;Assumptions!$B$3,"Pre-Q4",IF(J508&lt;=Assumptions!$B$4,"Q4 2025","Deferred Q1 2026")))</f>
        <v>Q4 2025</v>
      </c>
    </row>
    <row r="509" spans="1:12" ht="15" customHeight="1" x14ac:dyDescent="0.2">
      <c r="A509" s="14" t="s">
        <v>1240</v>
      </c>
      <c r="B509" s="14" t="s">
        <v>1241</v>
      </c>
      <c r="C509" s="18">
        <v>45964</v>
      </c>
      <c r="D509" s="18">
        <v>45968</v>
      </c>
      <c r="E509" s="14">
        <v>1080</v>
      </c>
      <c r="F509" s="14" t="s">
        <v>710</v>
      </c>
      <c r="G509" s="14" t="s">
        <v>711</v>
      </c>
      <c r="H509" s="15">
        <f>IFERROR(VLOOKUP(B509,Orders!$A:$I,6,0),"")</f>
        <v>129.31</v>
      </c>
      <c r="I509" s="14" t="str">
        <f>IFERROR(VLOOKUP(B509,Orders!$A:$I,8,0),"")</f>
        <v>FOB Destination</v>
      </c>
      <c r="J509" s="16">
        <f t="shared" si="17"/>
        <v>45968</v>
      </c>
      <c r="K509" s="15">
        <f t="shared" si="16"/>
        <v>139654.79999999999</v>
      </c>
      <c r="L509" s="14" t="str">
        <f>IF(H509="","Excluded - no order",IF(J509&lt;Assumptions!$B$3,"Pre-Q4",IF(J509&lt;=Assumptions!$B$4,"Q4 2025","Deferred Q1 2026")))</f>
        <v>Q4 2025</v>
      </c>
    </row>
    <row r="510" spans="1:12" ht="15" customHeight="1" x14ac:dyDescent="0.2">
      <c r="A510" s="14" t="s">
        <v>1242</v>
      </c>
      <c r="B510" s="14" t="s">
        <v>1243</v>
      </c>
      <c r="C510" s="18">
        <v>46014</v>
      </c>
      <c r="D510" s="18">
        <v>46016</v>
      </c>
      <c r="E510" s="14">
        <v>1734</v>
      </c>
      <c r="F510" s="14" t="s">
        <v>176</v>
      </c>
      <c r="G510" s="14" t="s">
        <v>177</v>
      </c>
      <c r="H510" s="15">
        <f>IFERROR(VLOOKUP(B510,Orders!$A:$I,6,0),"")</f>
        <v>313.82</v>
      </c>
      <c r="I510" s="14" t="str">
        <f>IFERROR(VLOOKUP(B510,Orders!$A:$I,8,0),"")</f>
        <v>FOB Destination</v>
      </c>
      <c r="J510" s="16">
        <f t="shared" si="17"/>
        <v>46016</v>
      </c>
      <c r="K510" s="15">
        <f t="shared" si="16"/>
        <v>544163.88</v>
      </c>
      <c r="L510" s="14" t="str">
        <f>IF(H510="","Excluded - no order",IF(J510&lt;Assumptions!$B$3,"Pre-Q4",IF(J510&lt;=Assumptions!$B$4,"Q4 2025","Deferred Q1 2026")))</f>
        <v>Q4 2025</v>
      </c>
    </row>
    <row r="511" spans="1:12" ht="15" customHeight="1" x14ac:dyDescent="0.2">
      <c r="A511" s="14" t="s">
        <v>1244</v>
      </c>
      <c r="B511" s="14" t="s">
        <v>1245</v>
      </c>
      <c r="C511" s="18">
        <v>46005</v>
      </c>
      <c r="D511" s="18">
        <v>46006</v>
      </c>
      <c r="E511" s="14">
        <v>246</v>
      </c>
      <c r="F511" s="14" t="s">
        <v>100</v>
      </c>
      <c r="G511" s="14" t="s">
        <v>101</v>
      </c>
      <c r="H511" s="15">
        <f>IFERROR(VLOOKUP(B511,Orders!$A:$I,6,0),"")</f>
        <v>170.75</v>
      </c>
      <c r="I511" s="14" t="str">
        <f>IFERROR(VLOOKUP(B511,Orders!$A:$I,8,0),"")</f>
        <v>FOB Destination</v>
      </c>
      <c r="J511" s="16">
        <f t="shared" si="17"/>
        <v>46006</v>
      </c>
      <c r="K511" s="15">
        <f t="shared" si="16"/>
        <v>42004.5</v>
      </c>
      <c r="L511" s="14" t="str">
        <f>IF(H511="","Excluded - no order",IF(J511&lt;Assumptions!$B$3,"Pre-Q4",IF(J511&lt;=Assumptions!$B$4,"Q4 2025","Deferred Q1 2026")))</f>
        <v>Q4 2025</v>
      </c>
    </row>
    <row r="512" spans="1:12" ht="15" customHeight="1" x14ac:dyDescent="0.2">
      <c r="A512" s="14" t="s">
        <v>1246</v>
      </c>
      <c r="B512" s="14" t="s">
        <v>1247</v>
      </c>
      <c r="C512" s="18">
        <v>45978</v>
      </c>
      <c r="D512" s="18">
        <v>45979</v>
      </c>
      <c r="E512" s="14">
        <v>589</v>
      </c>
      <c r="F512" s="14" t="s">
        <v>100</v>
      </c>
      <c r="G512" s="14" t="s">
        <v>101</v>
      </c>
      <c r="H512" s="15">
        <f>IFERROR(VLOOKUP(B512,Orders!$A:$I,6,0),"")</f>
        <v>10.14</v>
      </c>
      <c r="I512" s="14" t="str">
        <f>IFERROR(VLOOKUP(B512,Orders!$A:$I,8,0),"")</f>
        <v>FOB Shipping Point</v>
      </c>
      <c r="J512" s="16">
        <f t="shared" si="17"/>
        <v>45978</v>
      </c>
      <c r="K512" s="15">
        <f t="shared" si="16"/>
        <v>5972.46</v>
      </c>
      <c r="L512" s="14" t="str">
        <f>IF(H512="","Excluded - no order",IF(J512&lt;Assumptions!$B$3,"Pre-Q4",IF(J512&lt;=Assumptions!$B$4,"Q4 2025","Deferred Q1 2026")))</f>
        <v>Q4 2025</v>
      </c>
    </row>
    <row r="513" spans="1:12" ht="15" customHeight="1" x14ac:dyDescent="0.2">
      <c r="A513" s="14" t="s">
        <v>1248</v>
      </c>
      <c r="B513" s="14" t="s">
        <v>1247</v>
      </c>
      <c r="C513" s="18">
        <v>45980</v>
      </c>
      <c r="D513" s="18">
        <v>45981</v>
      </c>
      <c r="E513" s="14">
        <v>750</v>
      </c>
      <c r="F513" s="14" t="s">
        <v>112</v>
      </c>
      <c r="G513" s="14" t="s">
        <v>113</v>
      </c>
      <c r="H513" s="15">
        <f>IFERROR(VLOOKUP(B513,Orders!$A:$I,6,0),"")</f>
        <v>10.14</v>
      </c>
      <c r="I513" s="14" t="str">
        <f>IFERROR(VLOOKUP(B513,Orders!$A:$I,8,0),"")</f>
        <v>FOB Shipping Point</v>
      </c>
      <c r="J513" s="16">
        <f t="shared" si="17"/>
        <v>45980</v>
      </c>
      <c r="K513" s="15">
        <f t="shared" si="16"/>
        <v>7605</v>
      </c>
      <c r="L513" s="14" t="str">
        <f>IF(H513="","Excluded - no order",IF(J513&lt;Assumptions!$B$3,"Pre-Q4",IF(J513&lt;=Assumptions!$B$4,"Q4 2025","Deferred Q1 2026")))</f>
        <v>Q4 2025</v>
      </c>
    </row>
    <row r="514" spans="1:12" ht="15" customHeight="1" x14ac:dyDescent="0.2">
      <c r="A514" s="14" t="s">
        <v>1249</v>
      </c>
      <c r="B514" s="14" t="s">
        <v>1250</v>
      </c>
      <c r="C514" s="18">
        <v>45990</v>
      </c>
      <c r="D514" s="18">
        <v>45992</v>
      </c>
      <c r="E514" s="14">
        <v>134</v>
      </c>
      <c r="F514" s="14" t="s">
        <v>112</v>
      </c>
      <c r="G514" s="14" t="s">
        <v>113</v>
      </c>
      <c r="H514" s="15">
        <f>IFERROR(VLOOKUP(B514,Orders!$A:$I,6,0),"")</f>
        <v>253.35</v>
      </c>
      <c r="I514" s="14" t="str">
        <f>IFERROR(VLOOKUP(B514,Orders!$A:$I,8,0),"")</f>
        <v>FOB Destination</v>
      </c>
      <c r="J514" s="16">
        <f t="shared" si="17"/>
        <v>45992</v>
      </c>
      <c r="K514" s="15">
        <f t="shared" ref="K514:K577" si="18">IF(H514="",0,E514*H514)</f>
        <v>33948.9</v>
      </c>
      <c r="L514" s="14" t="str">
        <f>IF(H514="","Excluded - no order",IF(J514&lt;Assumptions!$B$3,"Pre-Q4",IF(J514&lt;=Assumptions!$B$4,"Q4 2025","Deferred Q1 2026")))</f>
        <v>Q4 2025</v>
      </c>
    </row>
    <row r="515" spans="1:12" ht="15" customHeight="1" x14ac:dyDescent="0.2">
      <c r="A515" s="14" t="s">
        <v>1251</v>
      </c>
      <c r="B515" s="14" t="s">
        <v>1250</v>
      </c>
      <c r="C515" s="18">
        <v>45992</v>
      </c>
      <c r="D515" s="18">
        <v>45994</v>
      </c>
      <c r="E515" s="14">
        <v>75</v>
      </c>
      <c r="F515" s="14" t="s">
        <v>118</v>
      </c>
      <c r="G515" s="14" t="s">
        <v>119</v>
      </c>
      <c r="H515" s="15">
        <f>IFERROR(VLOOKUP(B515,Orders!$A:$I,6,0),"")</f>
        <v>253.35</v>
      </c>
      <c r="I515" s="14" t="str">
        <f>IFERROR(VLOOKUP(B515,Orders!$A:$I,8,0),"")</f>
        <v>FOB Destination</v>
      </c>
      <c r="J515" s="16">
        <f t="shared" si="17"/>
        <v>45994</v>
      </c>
      <c r="K515" s="15">
        <f t="shared" si="18"/>
        <v>19001.25</v>
      </c>
      <c r="L515" s="14" t="str">
        <f>IF(H515="","Excluded - no order",IF(J515&lt;Assumptions!$B$3,"Pre-Q4",IF(J515&lt;=Assumptions!$B$4,"Q4 2025","Deferred Q1 2026")))</f>
        <v>Q4 2025</v>
      </c>
    </row>
    <row r="516" spans="1:12" ht="15" customHeight="1" x14ac:dyDescent="0.2">
      <c r="A516" s="14" t="s">
        <v>1252</v>
      </c>
      <c r="B516" s="14" t="s">
        <v>1253</v>
      </c>
      <c r="C516" s="18">
        <v>45941</v>
      </c>
      <c r="D516" s="18">
        <v>45942</v>
      </c>
      <c r="E516" s="14">
        <v>644</v>
      </c>
      <c r="F516" s="14" t="s">
        <v>112</v>
      </c>
      <c r="G516" s="14" t="s">
        <v>113</v>
      </c>
      <c r="H516" s="15">
        <f>IFERROR(VLOOKUP(B516,Orders!$A:$I,6,0),"")</f>
        <v>63.03</v>
      </c>
      <c r="I516" s="14" t="str">
        <f>IFERROR(VLOOKUP(B516,Orders!$A:$I,8,0),"")</f>
        <v>FOB Destination</v>
      </c>
      <c r="J516" s="16">
        <f t="shared" si="17"/>
        <v>45942</v>
      </c>
      <c r="K516" s="15">
        <f t="shared" si="18"/>
        <v>40591.32</v>
      </c>
      <c r="L516" s="14" t="str">
        <f>IF(H516="","Excluded - no order",IF(J516&lt;Assumptions!$B$3,"Pre-Q4",IF(J516&lt;=Assumptions!$B$4,"Q4 2025","Deferred Q1 2026")))</f>
        <v>Q4 2025</v>
      </c>
    </row>
    <row r="517" spans="1:12" ht="15" customHeight="1" x14ac:dyDescent="0.2">
      <c r="A517" s="14" t="s">
        <v>1254</v>
      </c>
      <c r="B517" s="14" t="s">
        <v>1255</v>
      </c>
      <c r="C517" s="18">
        <v>46022</v>
      </c>
      <c r="D517" s="18">
        <v>46025</v>
      </c>
      <c r="E517" s="14">
        <v>305</v>
      </c>
      <c r="F517" s="14" t="s">
        <v>118</v>
      </c>
      <c r="G517" s="14" t="s">
        <v>119</v>
      </c>
      <c r="H517" s="15">
        <f>IFERROR(VLOOKUP(B517,Orders!$A:$I,6,0),"")</f>
        <v>445.84</v>
      </c>
      <c r="I517" s="14" t="str">
        <f>IFERROR(VLOOKUP(B517,Orders!$A:$I,8,0),"")</f>
        <v>FOB Shipping Point</v>
      </c>
      <c r="J517" s="16">
        <f t="shared" si="17"/>
        <v>46022</v>
      </c>
      <c r="K517" s="15">
        <f t="shared" si="18"/>
        <v>135981.19999999998</v>
      </c>
      <c r="L517" s="14" t="str">
        <f>IF(H517="","Excluded - no order",IF(J517&lt;Assumptions!$B$3,"Pre-Q4",IF(J517&lt;=Assumptions!$B$4,"Q4 2025","Deferred Q1 2026")))</f>
        <v>Q4 2025</v>
      </c>
    </row>
    <row r="518" spans="1:12" ht="15" customHeight="1" x14ac:dyDescent="0.2">
      <c r="A518" s="14" t="s">
        <v>1256</v>
      </c>
      <c r="B518" s="14" t="s">
        <v>1257</v>
      </c>
      <c r="C518" s="18">
        <v>45990</v>
      </c>
      <c r="D518" s="18">
        <v>45991</v>
      </c>
      <c r="E518" s="14">
        <v>169</v>
      </c>
      <c r="F518" s="14" t="s">
        <v>1258</v>
      </c>
      <c r="G518" s="14" t="s">
        <v>1259</v>
      </c>
      <c r="H518" s="15">
        <f>IFERROR(VLOOKUP(B518,Orders!$A:$I,6,0),"")</f>
        <v>411.3</v>
      </c>
      <c r="I518" s="14" t="str">
        <f>IFERROR(VLOOKUP(B518,Orders!$A:$I,8,0),"")</f>
        <v>FOB Shipping Point</v>
      </c>
      <c r="J518" s="16">
        <f t="shared" si="17"/>
        <v>45990</v>
      </c>
      <c r="K518" s="15">
        <f t="shared" si="18"/>
        <v>69509.7</v>
      </c>
      <c r="L518" s="14" t="str">
        <f>IF(H518="","Excluded - no order",IF(J518&lt;Assumptions!$B$3,"Pre-Q4",IF(J518&lt;=Assumptions!$B$4,"Q4 2025","Deferred Q1 2026")))</f>
        <v>Q4 2025</v>
      </c>
    </row>
    <row r="519" spans="1:12" ht="15" customHeight="1" x14ac:dyDescent="0.2">
      <c r="A519" s="14" t="s">
        <v>1260</v>
      </c>
      <c r="B519" s="14" t="s">
        <v>1261</v>
      </c>
      <c r="C519" s="18">
        <v>46020</v>
      </c>
      <c r="D519" s="18">
        <v>46026</v>
      </c>
      <c r="E519" s="14">
        <v>1264</v>
      </c>
      <c r="F519" s="14" t="s">
        <v>122</v>
      </c>
      <c r="G519" s="14" t="s">
        <v>123</v>
      </c>
      <c r="H519" s="15">
        <f>IFERROR(VLOOKUP(B519,Orders!$A:$I,6,0),"")</f>
        <v>324.99</v>
      </c>
      <c r="I519" s="14" t="str">
        <f>IFERROR(VLOOKUP(B519,Orders!$A:$I,8,0),"")</f>
        <v>FOB Shipping Point</v>
      </c>
      <c r="J519" s="16">
        <f t="shared" ref="J519:J582" si="19">IF(I519="","",IF(I519="FOB Shipping Point",C519,D519))</f>
        <v>46020</v>
      </c>
      <c r="K519" s="15">
        <f t="shared" si="18"/>
        <v>410787.36</v>
      </c>
      <c r="L519" s="14" t="str">
        <f>IF(H519="","Excluded - no order",IF(J519&lt;Assumptions!$B$3,"Pre-Q4",IF(J519&lt;=Assumptions!$B$4,"Q4 2025","Deferred Q1 2026")))</f>
        <v>Q4 2025</v>
      </c>
    </row>
    <row r="520" spans="1:12" ht="15" customHeight="1" x14ac:dyDescent="0.2">
      <c r="A520" s="14" t="s">
        <v>1262</v>
      </c>
      <c r="B520" s="14" t="s">
        <v>1263</v>
      </c>
      <c r="C520" s="18">
        <v>46005</v>
      </c>
      <c r="D520" s="18">
        <v>46009</v>
      </c>
      <c r="E520" s="14">
        <v>995</v>
      </c>
      <c r="F520" s="14" t="s">
        <v>122</v>
      </c>
      <c r="G520" s="14" t="s">
        <v>123</v>
      </c>
      <c r="H520" s="15">
        <f>IFERROR(VLOOKUP(B520,Orders!$A:$I,6,0),"")</f>
        <v>269.27</v>
      </c>
      <c r="I520" s="14" t="str">
        <f>IFERROR(VLOOKUP(B520,Orders!$A:$I,8,0),"")</f>
        <v>FOB Shipping Point</v>
      </c>
      <c r="J520" s="16">
        <f t="shared" si="19"/>
        <v>46005</v>
      </c>
      <c r="K520" s="15">
        <f t="shared" si="18"/>
        <v>267923.64999999997</v>
      </c>
      <c r="L520" s="14" t="str">
        <f>IF(H520="","Excluded - no order",IF(J520&lt;Assumptions!$B$3,"Pre-Q4",IF(J520&lt;=Assumptions!$B$4,"Q4 2025","Deferred Q1 2026")))</f>
        <v>Q4 2025</v>
      </c>
    </row>
    <row r="521" spans="1:12" ht="15" customHeight="1" x14ac:dyDescent="0.2">
      <c r="A521" s="14" t="s">
        <v>1264</v>
      </c>
      <c r="B521" s="14" t="s">
        <v>1265</v>
      </c>
      <c r="C521" s="18">
        <v>45990</v>
      </c>
      <c r="D521" s="18">
        <v>45991</v>
      </c>
      <c r="E521" s="14">
        <v>640</v>
      </c>
      <c r="F521" s="14" t="s">
        <v>1266</v>
      </c>
      <c r="G521" s="14" t="s">
        <v>1267</v>
      </c>
      <c r="H521" s="15">
        <f>IFERROR(VLOOKUP(B521,Orders!$A:$I,6,0),"")</f>
        <v>247.71</v>
      </c>
      <c r="I521" s="14" t="str">
        <f>IFERROR(VLOOKUP(B521,Orders!$A:$I,8,0),"")</f>
        <v>FOB Shipping Point</v>
      </c>
      <c r="J521" s="16">
        <f t="shared" si="19"/>
        <v>45990</v>
      </c>
      <c r="K521" s="15">
        <f t="shared" si="18"/>
        <v>158534.39999999999</v>
      </c>
      <c r="L521" s="14" t="str">
        <f>IF(H521="","Excluded - no order",IF(J521&lt;Assumptions!$B$3,"Pre-Q4",IF(J521&lt;=Assumptions!$B$4,"Q4 2025","Deferred Q1 2026")))</f>
        <v>Q4 2025</v>
      </c>
    </row>
    <row r="522" spans="1:12" ht="15" customHeight="1" x14ac:dyDescent="0.2">
      <c r="A522" s="14" t="s">
        <v>1268</v>
      </c>
      <c r="B522" s="14" t="s">
        <v>1269</v>
      </c>
      <c r="C522" s="18">
        <v>45966</v>
      </c>
      <c r="D522" s="18">
        <v>45971</v>
      </c>
      <c r="E522" s="14">
        <v>1363</v>
      </c>
      <c r="F522" s="14" t="s">
        <v>203</v>
      </c>
      <c r="G522" s="14" t="s">
        <v>204</v>
      </c>
      <c r="H522" s="15">
        <f>IFERROR(VLOOKUP(B522,Orders!$A:$I,6,0),"")</f>
        <v>443.01</v>
      </c>
      <c r="I522" s="14" t="str">
        <f>IFERROR(VLOOKUP(B522,Orders!$A:$I,8,0),"")</f>
        <v>FOB Destination</v>
      </c>
      <c r="J522" s="16">
        <f t="shared" si="19"/>
        <v>45971</v>
      </c>
      <c r="K522" s="15">
        <f t="shared" si="18"/>
        <v>603822.63</v>
      </c>
      <c r="L522" s="14" t="str">
        <f>IF(H522="","Excluded - no order",IF(J522&lt;Assumptions!$B$3,"Pre-Q4",IF(J522&lt;=Assumptions!$B$4,"Q4 2025","Deferred Q1 2026")))</f>
        <v>Q4 2025</v>
      </c>
    </row>
    <row r="523" spans="1:12" ht="15" customHeight="1" x14ac:dyDescent="0.2">
      <c r="A523" s="14" t="s">
        <v>1270</v>
      </c>
      <c r="B523" s="14" t="s">
        <v>1271</v>
      </c>
      <c r="C523" s="18">
        <v>45996</v>
      </c>
      <c r="D523" s="18">
        <v>46002</v>
      </c>
      <c r="E523" s="14">
        <v>1499</v>
      </c>
      <c r="F523" s="14" t="s">
        <v>118</v>
      </c>
      <c r="G523" s="14" t="s">
        <v>119</v>
      </c>
      <c r="H523" s="15">
        <f>IFERROR(VLOOKUP(B523,Orders!$A:$I,6,0),"")</f>
        <v>255.03</v>
      </c>
      <c r="I523" s="14" t="str">
        <f>IFERROR(VLOOKUP(B523,Orders!$A:$I,8,0),"")</f>
        <v>FOB Shipping Point</v>
      </c>
      <c r="J523" s="16">
        <f t="shared" si="19"/>
        <v>45996</v>
      </c>
      <c r="K523" s="15">
        <f t="shared" si="18"/>
        <v>382289.97000000003</v>
      </c>
      <c r="L523" s="14" t="str">
        <f>IF(H523="","Excluded - no order",IF(J523&lt;Assumptions!$B$3,"Pre-Q4",IF(J523&lt;=Assumptions!$B$4,"Q4 2025","Deferred Q1 2026")))</f>
        <v>Q4 2025</v>
      </c>
    </row>
    <row r="524" spans="1:12" ht="15" customHeight="1" x14ac:dyDescent="0.2">
      <c r="A524" s="14" t="s">
        <v>1272</v>
      </c>
      <c r="B524" s="14" t="s">
        <v>1273</v>
      </c>
      <c r="C524" s="18">
        <v>46003</v>
      </c>
      <c r="D524" s="18">
        <v>46008</v>
      </c>
      <c r="E524" s="14">
        <v>1096</v>
      </c>
      <c r="F524" s="14" t="s">
        <v>122</v>
      </c>
      <c r="G524" s="14" t="s">
        <v>123</v>
      </c>
      <c r="H524" s="15">
        <f>IFERROR(VLOOKUP(B524,Orders!$A:$I,6,0),"")</f>
        <v>55.21</v>
      </c>
      <c r="I524" s="14" t="str">
        <f>IFERROR(VLOOKUP(B524,Orders!$A:$I,8,0),"")</f>
        <v>FOB Shipping Point</v>
      </c>
      <c r="J524" s="16">
        <f t="shared" si="19"/>
        <v>46003</v>
      </c>
      <c r="K524" s="15">
        <f t="shared" si="18"/>
        <v>60510.16</v>
      </c>
      <c r="L524" s="14" t="str">
        <f>IF(H524="","Excluded - no order",IF(J524&lt;Assumptions!$B$3,"Pre-Q4",IF(J524&lt;=Assumptions!$B$4,"Q4 2025","Deferred Q1 2026")))</f>
        <v>Q4 2025</v>
      </c>
    </row>
    <row r="525" spans="1:12" ht="15" customHeight="1" x14ac:dyDescent="0.2">
      <c r="A525" s="14" t="s">
        <v>1274</v>
      </c>
      <c r="B525" s="14" t="s">
        <v>1275</v>
      </c>
      <c r="C525" s="18">
        <v>46001</v>
      </c>
      <c r="D525" s="18">
        <v>46007</v>
      </c>
      <c r="E525" s="14">
        <v>84</v>
      </c>
      <c r="F525" s="14" t="s">
        <v>229</v>
      </c>
      <c r="G525" s="14" t="s">
        <v>230</v>
      </c>
      <c r="H525" s="15">
        <f>IFERROR(VLOOKUP(B525,Orders!$A:$I,6,0),"")</f>
        <v>33.57</v>
      </c>
      <c r="I525" s="14" t="str">
        <f>IFERROR(VLOOKUP(B525,Orders!$A:$I,8,0),"")</f>
        <v>FOB Shipping Point</v>
      </c>
      <c r="J525" s="16">
        <f t="shared" si="19"/>
        <v>46001</v>
      </c>
      <c r="K525" s="15">
        <f t="shared" si="18"/>
        <v>2819.88</v>
      </c>
      <c r="L525" s="14" t="str">
        <f>IF(H525="","Excluded - no order",IF(J525&lt;Assumptions!$B$3,"Pre-Q4",IF(J525&lt;=Assumptions!$B$4,"Q4 2025","Deferred Q1 2026")))</f>
        <v>Q4 2025</v>
      </c>
    </row>
    <row r="526" spans="1:12" ht="15" customHeight="1" x14ac:dyDescent="0.2">
      <c r="A526" s="14" t="s">
        <v>1276</v>
      </c>
      <c r="B526" s="14" t="s">
        <v>1277</v>
      </c>
      <c r="C526" s="18">
        <v>45961</v>
      </c>
      <c r="D526" s="18">
        <v>45964</v>
      </c>
      <c r="E526" s="14">
        <v>1982</v>
      </c>
      <c r="F526" s="14" t="s">
        <v>149</v>
      </c>
      <c r="G526" s="14" t="s">
        <v>150</v>
      </c>
      <c r="H526" s="15">
        <f>IFERROR(VLOOKUP(B526,Orders!$A:$I,6,0),"")</f>
        <v>111.53</v>
      </c>
      <c r="I526" s="14" t="str">
        <f>IFERROR(VLOOKUP(B526,Orders!$A:$I,8,0),"")</f>
        <v>FOB Destination</v>
      </c>
      <c r="J526" s="16">
        <f t="shared" si="19"/>
        <v>45964</v>
      </c>
      <c r="K526" s="15">
        <f t="shared" si="18"/>
        <v>221052.46</v>
      </c>
      <c r="L526" s="14" t="str">
        <f>IF(H526="","Excluded - no order",IF(J526&lt;Assumptions!$B$3,"Pre-Q4",IF(J526&lt;=Assumptions!$B$4,"Q4 2025","Deferred Q1 2026")))</f>
        <v>Q4 2025</v>
      </c>
    </row>
    <row r="527" spans="1:12" ht="15" customHeight="1" x14ac:dyDescent="0.2">
      <c r="A527" s="14" t="s">
        <v>1278</v>
      </c>
      <c r="B527" s="14" t="s">
        <v>1279</v>
      </c>
      <c r="C527" s="18">
        <v>45988</v>
      </c>
      <c r="D527" s="18">
        <v>45992</v>
      </c>
      <c r="E527" s="14">
        <v>442</v>
      </c>
      <c r="F527" s="14" t="s">
        <v>149</v>
      </c>
      <c r="G527" s="14" t="s">
        <v>150</v>
      </c>
      <c r="H527" s="15">
        <f>IFERROR(VLOOKUP(B527,Orders!$A:$I,6,0),"")</f>
        <v>260.33</v>
      </c>
      <c r="I527" s="14" t="str">
        <f>IFERROR(VLOOKUP(B527,Orders!$A:$I,8,0),"")</f>
        <v>FOB Shipping Point</v>
      </c>
      <c r="J527" s="16">
        <f t="shared" si="19"/>
        <v>45988</v>
      </c>
      <c r="K527" s="15">
        <f t="shared" si="18"/>
        <v>115065.85999999999</v>
      </c>
      <c r="L527" s="14" t="str">
        <f>IF(H527="","Excluded - no order",IF(J527&lt;Assumptions!$B$3,"Pre-Q4",IF(J527&lt;=Assumptions!$B$4,"Q4 2025","Deferred Q1 2026")))</f>
        <v>Q4 2025</v>
      </c>
    </row>
    <row r="528" spans="1:12" ht="15" customHeight="1" x14ac:dyDescent="0.2">
      <c r="A528" s="14" t="s">
        <v>1280</v>
      </c>
      <c r="B528" s="14" t="s">
        <v>1281</v>
      </c>
      <c r="C528" s="18">
        <v>45968</v>
      </c>
      <c r="D528" s="18">
        <v>45971</v>
      </c>
      <c r="E528" s="14">
        <v>723</v>
      </c>
      <c r="F528" s="14" t="s">
        <v>149</v>
      </c>
      <c r="G528" s="14" t="s">
        <v>150</v>
      </c>
      <c r="H528" s="15">
        <f>IFERROR(VLOOKUP(B528,Orders!$A:$I,6,0),"")</f>
        <v>451.24</v>
      </c>
      <c r="I528" s="14" t="str">
        <f>IFERROR(VLOOKUP(B528,Orders!$A:$I,8,0),"")</f>
        <v>FOB Destination</v>
      </c>
      <c r="J528" s="16">
        <f t="shared" si="19"/>
        <v>45971</v>
      </c>
      <c r="K528" s="15">
        <f t="shared" si="18"/>
        <v>326246.52</v>
      </c>
      <c r="L528" s="14" t="str">
        <f>IF(H528="","Excluded - no order",IF(J528&lt;Assumptions!$B$3,"Pre-Q4",IF(J528&lt;=Assumptions!$B$4,"Q4 2025","Deferred Q1 2026")))</f>
        <v>Q4 2025</v>
      </c>
    </row>
    <row r="529" spans="1:12" ht="15" customHeight="1" x14ac:dyDescent="0.2">
      <c r="A529" s="14" t="s">
        <v>1282</v>
      </c>
      <c r="B529" s="14" t="s">
        <v>1281</v>
      </c>
      <c r="C529" s="18">
        <v>45970</v>
      </c>
      <c r="D529" s="18">
        <v>45973</v>
      </c>
      <c r="E529" s="14">
        <v>338</v>
      </c>
      <c r="F529" s="14" t="s">
        <v>73</v>
      </c>
      <c r="G529" s="14" t="s">
        <v>74</v>
      </c>
      <c r="H529" s="15">
        <f>IFERROR(VLOOKUP(B529,Orders!$A:$I,6,0),"")</f>
        <v>451.24</v>
      </c>
      <c r="I529" s="14" t="str">
        <f>IFERROR(VLOOKUP(B529,Orders!$A:$I,8,0),"")</f>
        <v>FOB Destination</v>
      </c>
      <c r="J529" s="16">
        <f t="shared" si="19"/>
        <v>45973</v>
      </c>
      <c r="K529" s="15">
        <f t="shared" si="18"/>
        <v>152519.12</v>
      </c>
      <c r="L529" s="14" t="str">
        <f>IF(H529="","Excluded - no order",IF(J529&lt;Assumptions!$B$3,"Pre-Q4",IF(J529&lt;=Assumptions!$B$4,"Q4 2025","Deferred Q1 2026")))</f>
        <v>Q4 2025</v>
      </c>
    </row>
    <row r="530" spans="1:12" ht="15" customHeight="1" x14ac:dyDescent="0.2">
      <c r="A530" s="14" t="s">
        <v>1283</v>
      </c>
      <c r="B530" s="14" t="s">
        <v>1284</v>
      </c>
      <c r="C530" s="18">
        <v>45953</v>
      </c>
      <c r="D530" s="18">
        <v>45956</v>
      </c>
      <c r="E530" s="14">
        <v>217</v>
      </c>
      <c r="F530" s="14" t="s">
        <v>1285</v>
      </c>
      <c r="G530" s="14" t="s">
        <v>1286</v>
      </c>
      <c r="H530" s="15">
        <f>IFERROR(VLOOKUP(B530,Orders!$A:$I,6,0),"")</f>
        <v>445.12</v>
      </c>
      <c r="I530" s="14" t="str">
        <f>IFERROR(VLOOKUP(B530,Orders!$A:$I,8,0),"")</f>
        <v>FOB Destination</v>
      </c>
      <c r="J530" s="16">
        <f t="shared" si="19"/>
        <v>45956</v>
      </c>
      <c r="K530" s="15">
        <f t="shared" si="18"/>
        <v>96591.040000000008</v>
      </c>
      <c r="L530" s="14" t="str">
        <f>IF(H530="","Excluded - no order",IF(J530&lt;Assumptions!$B$3,"Pre-Q4",IF(J530&lt;=Assumptions!$B$4,"Q4 2025","Deferred Q1 2026")))</f>
        <v>Q4 2025</v>
      </c>
    </row>
    <row r="531" spans="1:12" ht="15" customHeight="1" x14ac:dyDescent="0.2">
      <c r="A531" s="14" t="s">
        <v>1287</v>
      </c>
      <c r="B531" s="14" t="s">
        <v>1288</v>
      </c>
      <c r="C531" s="18">
        <v>46020</v>
      </c>
      <c r="D531" s="18">
        <v>46025</v>
      </c>
      <c r="E531" s="14">
        <v>594</v>
      </c>
      <c r="F531" s="14" t="s">
        <v>233</v>
      </c>
      <c r="G531" s="14" t="s">
        <v>234</v>
      </c>
      <c r="H531" s="15">
        <f>IFERROR(VLOOKUP(B531,Orders!$A:$I,6,0),"")</f>
        <v>185.98</v>
      </c>
      <c r="I531" s="14" t="str">
        <f>IFERROR(VLOOKUP(B531,Orders!$A:$I,8,0),"")</f>
        <v>FOB Shipping Point</v>
      </c>
      <c r="J531" s="16">
        <f t="shared" si="19"/>
        <v>46020</v>
      </c>
      <c r="K531" s="15">
        <f t="shared" si="18"/>
        <v>110472.12</v>
      </c>
      <c r="L531" s="14" t="str">
        <f>IF(H531="","Excluded - no order",IF(J531&lt;Assumptions!$B$3,"Pre-Q4",IF(J531&lt;=Assumptions!$B$4,"Q4 2025","Deferred Q1 2026")))</f>
        <v>Q4 2025</v>
      </c>
    </row>
    <row r="532" spans="1:12" ht="15" customHeight="1" x14ac:dyDescent="0.2">
      <c r="A532" s="14" t="s">
        <v>1289</v>
      </c>
      <c r="B532" s="14" t="s">
        <v>1288</v>
      </c>
      <c r="C532" s="18">
        <v>46033</v>
      </c>
      <c r="D532" s="18">
        <v>46038</v>
      </c>
      <c r="E532" s="14">
        <v>667</v>
      </c>
      <c r="F532" s="14" t="s">
        <v>262</v>
      </c>
      <c r="G532" s="14" t="s">
        <v>263</v>
      </c>
      <c r="H532" s="15">
        <f>IFERROR(VLOOKUP(B532,Orders!$A:$I,6,0),"")</f>
        <v>185.98</v>
      </c>
      <c r="I532" s="14" t="str">
        <f>IFERROR(VLOOKUP(B532,Orders!$A:$I,8,0),"")</f>
        <v>FOB Shipping Point</v>
      </c>
      <c r="J532" s="16">
        <f t="shared" si="19"/>
        <v>46033</v>
      </c>
      <c r="K532" s="15">
        <f t="shared" si="18"/>
        <v>124048.65999999999</v>
      </c>
      <c r="L532" s="14" t="str">
        <f>IF(H532="","Excluded - no order",IF(J532&lt;Assumptions!$B$3,"Pre-Q4",IF(J532&lt;=Assumptions!$B$4,"Q4 2025","Deferred Q1 2026")))</f>
        <v>Deferred Q1 2026</v>
      </c>
    </row>
    <row r="533" spans="1:12" ht="15" customHeight="1" x14ac:dyDescent="0.2">
      <c r="A533" s="14" t="s">
        <v>1290</v>
      </c>
      <c r="B533" s="14" t="s">
        <v>1291</v>
      </c>
      <c r="C533" s="18">
        <v>45946</v>
      </c>
      <c r="D533" s="18">
        <v>45947</v>
      </c>
      <c r="E533" s="14">
        <v>1569</v>
      </c>
      <c r="F533" s="14" t="s">
        <v>73</v>
      </c>
      <c r="G533" s="14" t="s">
        <v>74</v>
      </c>
      <c r="H533" s="15">
        <f>IFERROR(VLOOKUP(B533,Orders!$A:$I,6,0),"")</f>
        <v>215.97</v>
      </c>
      <c r="I533" s="14" t="str">
        <f>IFERROR(VLOOKUP(B533,Orders!$A:$I,8,0),"")</f>
        <v>FOB Shipping Point</v>
      </c>
      <c r="J533" s="16">
        <f t="shared" si="19"/>
        <v>45946</v>
      </c>
      <c r="K533" s="15">
        <f t="shared" si="18"/>
        <v>338856.93</v>
      </c>
      <c r="L533" s="14" t="str">
        <f>IF(H533="","Excluded - no order",IF(J533&lt;Assumptions!$B$3,"Pre-Q4",IF(J533&lt;=Assumptions!$B$4,"Q4 2025","Deferred Q1 2026")))</f>
        <v>Q4 2025</v>
      </c>
    </row>
    <row r="534" spans="1:12" ht="15" customHeight="1" x14ac:dyDescent="0.2">
      <c r="A534" s="14" t="s">
        <v>1292</v>
      </c>
      <c r="B534" s="14" t="s">
        <v>1293</v>
      </c>
      <c r="C534" s="18">
        <v>45937</v>
      </c>
      <c r="D534" s="18">
        <v>45940</v>
      </c>
      <c r="E534" s="14">
        <v>859</v>
      </c>
      <c r="F534" s="14" t="s">
        <v>100</v>
      </c>
      <c r="G534" s="14" t="s">
        <v>101</v>
      </c>
      <c r="H534" s="15">
        <f>IFERROR(VLOOKUP(B534,Orders!$A:$I,6,0),"")</f>
        <v>216.87</v>
      </c>
      <c r="I534" s="14" t="str">
        <f>IFERROR(VLOOKUP(B534,Orders!$A:$I,8,0),"")</f>
        <v>FOB Destination</v>
      </c>
      <c r="J534" s="16">
        <f t="shared" si="19"/>
        <v>45940</v>
      </c>
      <c r="K534" s="15">
        <f t="shared" si="18"/>
        <v>186291.33000000002</v>
      </c>
      <c r="L534" s="14" t="str">
        <f>IF(H534="","Excluded - no order",IF(J534&lt;Assumptions!$B$3,"Pre-Q4",IF(J534&lt;=Assumptions!$B$4,"Q4 2025","Deferred Q1 2026")))</f>
        <v>Q4 2025</v>
      </c>
    </row>
    <row r="535" spans="1:12" ht="15" customHeight="1" x14ac:dyDescent="0.2">
      <c r="A535" s="14" t="s">
        <v>1294</v>
      </c>
      <c r="B535" s="14" t="s">
        <v>1295</v>
      </c>
      <c r="C535" s="18">
        <v>46013</v>
      </c>
      <c r="D535" s="18">
        <v>46014</v>
      </c>
      <c r="E535" s="14">
        <v>220</v>
      </c>
      <c r="F535" s="14" t="s">
        <v>108</v>
      </c>
      <c r="G535" s="14" t="s">
        <v>109</v>
      </c>
      <c r="H535" s="15">
        <f>IFERROR(VLOOKUP(B535,Orders!$A:$I,6,0),"")</f>
        <v>321.33</v>
      </c>
      <c r="I535" s="14" t="str">
        <f>IFERROR(VLOOKUP(B535,Orders!$A:$I,8,0),"")</f>
        <v>FOB Destination</v>
      </c>
      <c r="J535" s="16">
        <f t="shared" si="19"/>
        <v>46014</v>
      </c>
      <c r="K535" s="15">
        <f t="shared" si="18"/>
        <v>70692.599999999991</v>
      </c>
      <c r="L535" s="14" t="str">
        <f>IF(H535="","Excluded - no order",IF(J535&lt;Assumptions!$B$3,"Pre-Q4",IF(J535&lt;=Assumptions!$B$4,"Q4 2025","Deferred Q1 2026")))</f>
        <v>Q4 2025</v>
      </c>
    </row>
    <row r="536" spans="1:12" ht="15" customHeight="1" x14ac:dyDescent="0.2">
      <c r="A536" s="14" t="s">
        <v>1296</v>
      </c>
      <c r="B536" s="14" t="s">
        <v>1297</v>
      </c>
      <c r="C536" s="18">
        <v>46019</v>
      </c>
      <c r="D536" s="18">
        <v>46022</v>
      </c>
      <c r="E536" s="14">
        <v>713</v>
      </c>
      <c r="F536" s="14" t="s">
        <v>112</v>
      </c>
      <c r="G536" s="14" t="s">
        <v>113</v>
      </c>
      <c r="H536" s="15">
        <f>IFERROR(VLOOKUP(B536,Orders!$A:$I,6,0),"")</f>
        <v>398.68</v>
      </c>
      <c r="I536" s="14" t="str">
        <f>IFERROR(VLOOKUP(B536,Orders!$A:$I,8,0),"")</f>
        <v>FOB Shipping Point</v>
      </c>
      <c r="J536" s="16">
        <f t="shared" si="19"/>
        <v>46019</v>
      </c>
      <c r="K536" s="15">
        <f t="shared" si="18"/>
        <v>284258.84000000003</v>
      </c>
      <c r="L536" s="14" t="str">
        <f>IF(H536="","Excluded - no order",IF(J536&lt;Assumptions!$B$3,"Pre-Q4",IF(J536&lt;=Assumptions!$B$4,"Q4 2025","Deferred Q1 2026")))</f>
        <v>Q4 2025</v>
      </c>
    </row>
    <row r="537" spans="1:12" ht="15" customHeight="1" x14ac:dyDescent="0.2">
      <c r="A537" s="14" t="s">
        <v>1298</v>
      </c>
      <c r="B537" s="14" t="s">
        <v>1297</v>
      </c>
      <c r="C537" s="18">
        <v>46021</v>
      </c>
      <c r="D537" s="18">
        <v>46022</v>
      </c>
      <c r="E537" s="14">
        <v>237</v>
      </c>
      <c r="F537" s="14" t="s">
        <v>118</v>
      </c>
      <c r="G537" s="14" t="s">
        <v>119</v>
      </c>
      <c r="H537" s="15">
        <f>IFERROR(VLOOKUP(B537,Orders!$A:$I,6,0),"")</f>
        <v>398.68</v>
      </c>
      <c r="I537" s="14" t="str">
        <f>IFERROR(VLOOKUP(B537,Orders!$A:$I,8,0),"")</f>
        <v>FOB Shipping Point</v>
      </c>
      <c r="J537" s="16">
        <f t="shared" si="19"/>
        <v>46021</v>
      </c>
      <c r="K537" s="15">
        <f t="shared" si="18"/>
        <v>94487.16</v>
      </c>
      <c r="L537" s="14" t="str">
        <f>IF(H537="","Excluded - no order",IF(J537&lt;Assumptions!$B$3,"Pre-Q4",IF(J537&lt;=Assumptions!$B$4,"Q4 2025","Deferred Q1 2026")))</f>
        <v>Q4 2025</v>
      </c>
    </row>
    <row r="538" spans="1:12" ht="15" customHeight="1" x14ac:dyDescent="0.2">
      <c r="A538" s="14" t="s">
        <v>1299</v>
      </c>
      <c r="B538" s="14" t="s">
        <v>1300</v>
      </c>
      <c r="C538" s="18">
        <v>46018</v>
      </c>
      <c r="D538" s="18">
        <v>46019</v>
      </c>
      <c r="E538" s="14">
        <v>1112</v>
      </c>
      <c r="F538" s="14" t="s">
        <v>130</v>
      </c>
      <c r="G538" s="14" t="s">
        <v>131</v>
      </c>
      <c r="H538" s="15">
        <f>IFERROR(VLOOKUP(B538,Orders!$A:$I,6,0),"")</f>
        <v>38.39</v>
      </c>
      <c r="I538" s="14" t="str">
        <f>IFERROR(VLOOKUP(B538,Orders!$A:$I,8,0),"")</f>
        <v>FOB Shipping Point</v>
      </c>
      <c r="J538" s="16">
        <f t="shared" si="19"/>
        <v>46018</v>
      </c>
      <c r="K538" s="15">
        <f t="shared" si="18"/>
        <v>42689.68</v>
      </c>
      <c r="L538" s="14" t="str">
        <f>IF(H538="","Excluded - no order",IF(J538&lt;Assumptions!$B$3,"Pre-Q4",IF(J538&lt;=Assumptions!$B$4,"Q4 2025","Deferred Q1 2026")))</f>
        <v>Q4 2025</v>
      </c>
    </row>
    <row r="539" spans="1:12" ht="15" customHeight="1" x14ac:dyDescent="0.2">
      <c r="A539" s="14" t="s">
        <v>1301</v>
      </c>
      <c r="B539" s="14" t="s">
        <v>1302</v>
      </c>
      <c r="C539" s="18">
        <v>45952</v>
      </c>
      <c r="D539" s="18">
        <v>45957</v>
      </c>
      <c r="E539" s="14">
        <v>1095</v>
      </c>
      <c r="F539" s="14" t="s">
        <v>100</v>
      </c>
      <c r="G539" s="14" t="s">
        <v>101</v>
      </c>
      <c r="H539" s="15">
        <f>IFERROR(VLOOKUP(B539,Orders!$A:$I,6,0),"")</f>
        <v>254.02</v>
      </c>
      <c r="I539" s="14" t="str">
        <f>IFERROR(VLOOKUP(B539,Orders!$A:$I,8,0),"")</f>
        <v>FOB Destination</v>
      </c>
      <c r="J539" s="16">
        <f t="shared" si="19"/>
        <v>45957</v>
      </c>
      <c r="K539" s="15">
        <f t="shared" si="18"/>
        <v>278151.90000000002</v>
      </c>
      <c r="L539" s="14" t="str">
        <f>IF(H539="","Excluded - no order",IF(J539&lt;Assumptions!$B$3,"Pre-Q4",IF(J539&lt;=Assumptions!$B$4,"Q4 2025","Deferred Q1 2026")))</f>
        <v>Q4 2025</v>
      </c>
    </row>
    <row r="540" spans="1:12" ht="15" customHeight="1" x14ac:dyDescent="0.2">
      <c r="A540" s="14" t="s">
        <v>1303</v>
      </c>
      <c r="B540" s="14" t="s">
        <v>1304</v>
      </c>
      <c r="C540" s="18">
        <v>45970</v>
      </c>
      <c r="D540" s="18">
        <v>45973</v>
      </c>
      <c r="E540" s="14">
        <v>81</v>
      </c>
      <c r="F540" s="14" t="s">
        <v>134</v>
      </c>
      <c r="G540" s="14" t="s">
        <v>135</v>
      </c>
      <c r="H540" s="15">
        <f>IFERROR(VLOOKUP(B540,Orders!$A:$I,6,0),"")</f>
        <v>407.2</v>
      </c>
      <c r="I540" s="14" t="str">
        <f>IFERROR(VLOOKUP(B540,Orders!$A:$I,8,0),"")</f>
        <v>FOB Destination</v>
      </c>
      <c r="J540" s="16">
        <f t="shared" si="19"/>
        <v>45973</v>
      </c>
      <c r="K540" s="15">
        <f t="shared" si="18"/>
        <v>32983.199999999997</v>
      </c>
      <c r="L540" s="14" t="str">
        <f>IF(H540="","Excluded - no order",IF(J540&lt;Assumptions!$B$3,"Pre-Q4",IF(J540&lt;=Assumptions!$B$4,"Q4 2025","Deferred Q1 2026")))</f>
        <v>Q4 2025</v>
      </c>
    </row>
    <row r="541" spans="1:12" ht="15" customHeight="1" x14ac:dyDescent="0.2">
      <c r="A541" s="14" t="s">
        <v>1305</v>
      </c>
      <c r="B541" s="14" t="s">
        <v>1306</v>
      </c>
      <c r="C541" s="18">
        <v>45981</v>
      </c>
      <c r="D541" s="18">
        <v>45982</v>
      </c>
      <c r="E541" s="14">
        <v>273</v>
      </c>
      <c r="F541" s="14" t="s">
        <v>277</v>
      </c>
      <c r="G541" s="14" t="s">
        <v>278</v>
      </c>
      <c r="H541" s="15">
        <f>IFERROR(VLOOKUP(B541,Orders!$A:$I,6,0),"")</f>
        <v>52.27</v>
      </c>
      <c r="I541" s="14" t="str">
        <f>IFERROR(VLOOKUP(B541,Orders!$A:$I,8,0),"")</f>
        <v>FOB Shipping Point</v>
      </c>
      <c r="J541" s="16">
        <f t="shared" si="19"/>
        <v>45981</v>
      </c>
      <c r="K541" s="15">
        <f t="shared" si="18"/>
        <v>14269.710000000001</v>
      </c>
      <c r="L541" s="14" t="str">
        <f>IF(H541="","Excluded - no order",IF(J541&lt;Assumptions!$B$3,"Pre-Q4",IF(J541&lt;=Assumptions!$B$4,"Q4 2025","Deferred Q1 2026")))</f>
        <v>Q4 2025</v>
      </c>
    </row>
    <row r="542" spans="1:12" ht="15" customHeight="1" x14ac:dyDescent="0.2">
      <c r="A542" s="14" t="s">
        <v>1307</v>
      </c>
      <c r="B542" s="14" t="s">
        <v>1308</v>
      </c>
      <c r="C542" s="18">
        <v>46007</v>
      </c>
      <c r="D542" s="18">
        <v>46013</v>
      </c>
      <c r="E542" s="14">
        <v>613</v>
      </c>
      <c r="F542" s="14" t="s">
        <v>77</v>
      </c>
      <c r="G542" s="14" t="s">
        <v>78</v>
      </c>
      <c r="H542" s="15">
        <f>IFERROR(VLOOKUP(B542,Orders!$A:$I,6,0),"")</f>
        <v>10.95</v>
      </c>
      <c r="I542" s="14" t="str">
        <f>IFERROR(VLOOKUP(B542,Orders!$A:$I,8,0),"")</f>
        <v>FOB Shipping Point</v>
      </c>
      <c r="J542" s="16">
        <f t="shared" si="19"/>
        <v>46007</v>
      </c>
      <c r="K542" s="15">
        <f t="shared" si="18"/>
        <v>6712.3499999999995</v>
      </c>
      <c r="L542" s="14" t="str">
        <f>IF(H542="","Excluded - no order",IF(J542&lt;Assumptions!$B$3,"Pre-Q4",IF(J542&lt;=Assumptions!$B$4,"Q4 2025","Deferred Q1 2026")))</f>
        <v>Q4 2025</v>
      </c>
    </row>
    <row r="543" spans="1:12" ht="15" customHeight="1" x14ac:dyDescent="0.2">
      <c r="A543" s="14" t="s">
        <v>1309</v>
      </c>
      <c r="B543" s="14" t="s">
        <v>1308</v>
      </c>
      <c r="C543" s="18">
        <v>46009</v>
      </c>
      <c r="D543" s="18">
        <v>46015</v>
      </c>
      <c r="E543" s="14">
        <v>674</v>
      </c>
      <c r="F543" s="14" t="s">
        <v>77</v>
      </c>
      <c r="G543" s="14" t="s">
        <v>78</v>
      </c>
      <c r="H543" s="15">
        <f>IFERROR(VLOOKUP(B543,Orders!$A:$I,6,0),"")</f>
        <v>10.95</v>
      </c>
      <c r="I543" s="14" t="str">
        <f>IFERROR(VLOOKUP(B543,Orders!$A:$I,8,0),"")</f>
        <v>FOB Shipping Point</v>
      </c>
      <c r="J543" s="16">
        <f t="shared" si="19"/>
        <v>46009</v>
      </c>
      <c r="K543" s="15">
        <f t="shared" si="18"/>
        <v>7380.2999999999993</v>
      </c>
      <c r="L543" s="14" t="str">
        <f>IF(H543="","Excluded - no order",IF(J543&lt;Assumptions!$B$3,"Pre-Q4",IF(J543&lt;=Assumptions!$B$4,"Q4 2025","Deferred Q1 2026")))</f>
        <v>Q4 2025</v>
      </c>
    </row>
    <row r="544" spans="1:12" ht="15" customHeight="1" x14ac:dyDescent="0.2">
      <c r="A544" s="14" t="s">
        <v>1310</v>
      </c>
      <c r="B544" s="14" t="s">
        <v>1311</v>
      </c>
      <c r="C544" s="18">
        <v>46012</v>
      </c>
      <c r="D544" s="18">
        <v>46013</v>
      </c>
      <c r="E544" s="14">
        <v>1783</v>
      </c>
      <c r="F544" s="14" t="s">
        <v>1312</v>
      </c>
      <c r="G544" s="14" t="s">
        <v>1313</v>
      </c>
      <c r="H544" s="15">
        <f>IFERROR(VLOOKUP(B544,Orders!$A:$I,6,0),"")</f>
        <v>27.7</v>
      </c>
      <c r="I544" s="14" t="str">
        <f>IFERROR(VLOOKUP(B544,Orders!$A:$I,8,0),"")</f>
        <v>FOB Shipping Point</v>
      </c>
      <c r="J544" s="16">
        <f t="shared" si="19"/>
        <v>46012</v>
      </c>
      <c r="K544" s="15">
        <f t="shared" si="18"/>
        <v>49389.1</v>
      </c>
      <c r="L544" s="14" t="str">
        <f>IF(H544="","Excluded - no order",IF(J544&lt;Assumptions!$B$3,"Pre-Q4",IF(J544&lt;=Assumptions!$B$4,"Q4 2025","Deferred Q1 2026")))</f>
        <v>Q4 2025</v>
      </c>
    </row>
    <row r="545" spans="1:12" ht="15" customHeight="1" x14ac:dyDescent="0.2">
      <c r="A545" s="14" t="s">
        <v>1314</v>
      </c>
      <c r="B545" s="14" t="s">
        <v>1315</v>
      </c>
      <c r="C545" s="18">
        <v>45986</v>
      </c>
      <c r="D545" s="18">
        <v>45989</v>
      </c>
      <c r="E545" s="14">
        <v>520</v>
      </c>
      <c r="F545" s="14" t="s">
        <v>161</v>
      </c>
      <c r="G545" s="14" t="s">
        <v>162</v>
      </c>
      <c r="H545" s="15">
        <f>IFERROR(VLOOKUP(B545,Orders!$A:$I,6,0),"")</f>
        <v>478.43</v>
      </c>
      <c r="I545" s="14" t="str">
        <f>IFERROR(VLOOKUP(B545,Orders!$A:$I,8,0),"")</f>
        <v>FOB Shipping Point</v>
      </c>
      <c r="J545" s="16">
        <f t="shared" si="19"/>
        <v>45986</v>
      </c>
      <c r="K545" s="15">
        <f t="shared" si="18"/>
        <v>248783.6</v>
      </c>
      <c r="L545" s="14" t="str">
        <f>IF(H545="","Excluded - no order",IF(J545&lt;Assumptions!$B$3,"Pre-Q4",IF(J545&lt;=Assumptions!$B$4,"Q4 2025","Deferred Q1 2026")))</f>
        <v>Q4 2025</v>
      </c>
    </row>
    <row r="546" spans="1:12" ht="15" customHeight="1" x14ac:dyDescent="0.2">
      <c r="A546" s="14" t="s">
        <v>1316</v>
      </c>
      <c r="B546" s="14" t="s">
        <v>1315</v>
      </c>
      <c r="C546" s="18">
        <v>45988</v>
      </c>
      <c r="D546" s="18">
        <v>45991</v>
      </c>
      <c r="E546" s="14">
        <v>336</v>
      </c>
      <c r="F546" s="14" t="s">
        <v>171</v>
      </c>
      <c r="G546" s="14" t="s">
        <v>172</v>
      </c>
      <c r="H546" s="15">
        <f>IFERROR(VLOOKUP(B546,Orders!$A:$I,6,0),"")</f>
        <v>478.43</v>
      </c>
      <c r="I546" s="14" t="str">
        <f>IFERROR(VLOOKUP(B546,Orders!$A:$I,8,0),"")</f>
        <v>FOB Shipping Point</v>
      </c>
      <c r="J546" s="16">
        <f t="shared" si="19"/>
        <v>45988</v>
      </c>
      <c r="K546" s="15">
        <f t="shared" si="18"/>
        <v>160752.48000000001</v>
      </c>
      <c r="L546" s="14" t="str">
        <f>IF(H546="","Excluded - no order",IF(J546&lt;Assumptions!$B$3,"Pre-Q4",IF(J546&lt;=Assumptions!$B$4,"Q4 2025","Deferred Q1 2026")))</f>
        <v>Q4 2025</v>
      </c>
    </row>
    <row r="547" spans="1:12" ht="15" customHeight="1" x14ac:dyDescent="0.2">
      <c r="A547" s="14" t="s">
        <v>1317</v>
      </c>
      <c r="B547" s="14" t="s">
        <v>1318</v>
      </c>
      <c r="C547" s="18">
        <v>45983</v>
      </c>
      <c r="D547" s="18">
        <v>45989</v>
      </c>
      <c r="E547" s="14">
        <v>929</v>
      </c>
      <c r="F547" s="14" t="s">
        <v>73</v>
      </c>
      <c r="G547" s="14" t="s">
        <v>74</v>
      </c>
      <c r="H547" s="15">
        <f>IFERROR(VLOOKUP(B547,Orders!$A:$I,6,0),"")</f>
        <v>498.37</v>
      </c>
      <c r="I547" s="14" t="str">
        <f>IFERROR(VLOOKUP(B547,Orders!$A:$I,8,0),"")</f>
        <v>FOB Shipping Point</v>
      </c>
      <c r="J547" s="16">
        <f t="shared" si="19"/>
        <v>45983</v>
      </c>
      <c r="K547" s="15">
        <f t="shared" si="18"/>
        <v>462985.73</v>
      </c>
      <c r="L547" s="14" t="str">
        <f>IF(H547="","Excluded - no order",IF(J547&lt;Assumptions!$B$3,"Pre-Q4",IF(J547&lt;=Assumptions!$B$4,"Q4 2025","Deferred Q1 2026")))</f>
        <v>Q4 2025</v>
      </c>
    </row>
    <row r="548" spans="1:12" ht="15" customHeight="1" x14ac:dyDescent="0.2">
      <c r="A548" s="14" t="s">
        <v>1319</v>
      </c>
      <c r="B548" s="14" t="s">
        <v>1320</v>
      </c>
      <c r="C548" s="18">
        <v>46013</v>
      </c>
      <c r="D548" s="18">
        <v>46015</v>
      </c>
      <c r="E548" s="14">
        <v>984</v>
      </c>
      <c r="F548" s="14" t="s">
        <v>100</v>
      </c>
      <c r="G548" s="14" t="s">
        <v>101</v>
      </c>
      <c r="H548" s="15">
        <f>IFERROR(VLOOKUP(B548,Orders!$A:$I,6,0),"")</f>
        <v>475.44</v>
      </c>
      <c r="I548" s="14" t="str">
        <f>IFERROR(VLOOKUP(B548,Orders!$A:$I,8,0),"")</f>
        <v>FOB Shipping Point</v>
      </c>
      <c r="J548" s="16">
        <f t="shared" si="19"/>
        <v>46013</v>
      </c>
      <c r="K548" s="15">
        <f t="shared" si="18"/>
        <v>467832.96</v>
      </c>
      <c r="L548" s="14" t="str">
        <f>IF(H548="","Excluded - no order",IF(J548&lt;Assumptions!$B$3,"Pre-Q4",IF(J548&lt;=Assumptions!$B$4,"Q4 2025","Deferred Q1 2026")))</f>
        <v>Q4 2025</v>
      </c>
    </row>
    <row r="549" spans="1:12" ht="15" customHeight="1" x14ac:dyDescent="0.2">
      <c r="A549" s="14" t="s">
        <v>1321</v>
      </c>
      <c r="B549" s="14" t="s">
        <v>1322</v>
      </c>
      <c r="C549" s="18">
        <v>45951</v>
      </c>
      <c r="D549" s="18">
        <v>45957</v>
      </c>
      <c r="E549" s="14">
        <v>2179</v>
      </c>
      <c r="F549" s="14" t="s">
        <v>1323</v>
      </c>
      <c r="G549" s="14" t="s">
        <v>1324</v>
      </c>
      <c r="H549" s="15">
        <f>IFERROR(VLOOKUP(B549,Orders!$A:$I,6,0),"")</f>
        <v>274.97000000000003</v>
      </c>
      <c r="I549" s="14" t="str">
        <f>IFERROR(VLOOKUP(B549,Orders!$A:$I,8,0),"")</f>
        <v>FOB Shipping Point</v>
      </c>
      <c r="J549" s="16">
        <f t="shared" si="19"/>
        <v>45951</v>
      </c>
      <c r="K549" s="15">
        <f t="shared" si="18"/>
        <v>599159.63</v>
      </c>
      <c r="L549" s="14" t="str">
        <f>IF(H549="","Excluded - no order",IF(J549&lt;Assumptions!$B$3,"Pre-Q4",IF(J549&lt;=Assumptions!$B$4,"Q4 2025","Deferred Q1 2026")))</f>
        <v>Q4 2025</v>
      </c>
    </row>
    <row r="550" spans="1:12" ht="15" customHeight="1" x14ac:dyDescent="0.2">
      <c r="A550" s="14" t="s">
        <v>1325</v>
      </c>
      <c r="B550" s="14" t="s">
        <v>1326</v>
      </c>
      <c r="C550" s="18">
        <v>46003</v>
      </c>
      <c r="D550" s="18">
        <v>46008</v>
      </c>
      <c r="E550" s="14">
        <v>731</v>
      </c>
      <c r="F550" s="14" t="s">
        <v>112</v>
      </c>
      <c r="G550" s="14" t="s">
        <v>113</v>
      </c>
      <c r="H550" s="15">
        <f>IFERROR(VLOOKUP(B550,Orders!$A:$I,6,0),"")</f>
        <v>447.21</v>
      </c>
      <c r="I550" s="14" t="str">
        <f>IFERROR(VLOOKUP(B550,Orders!$A:$I,8,0),"")</f>
        <v>FOB Shipping Point</v>
      </c>
      <c r="J550" s="16">
        <f t="shared" si="19"/>
        <v>46003</v>
      </c>
      <c r="K550" s="15">
        <f t="shared" si="18"/>
        <v>326910.51</v>
      </c>
      <c r="L550" s="14" t="str">
        <f>IF(H550="","Excluded - no order",IF(J550&lt;Assumptions!$B$3,"Pre-Q4",IF(J550&lt;=Assumptions!$B$4,"Q4 2025","Deferred Q1 2026")))</f>
        <v>Q4 2025</v>
      </c>
    </row>
    <row r="551" spans="1:12" ht="15" customHeight="1" x14ac:dyDescent="0.2">
      <c r="A551" s="14" t="s">
        <v>1327</v>
      </c>
      <c r="B551" s="14" t="s">
        <v>1328</v>
      </c>
      <c r="C551" s="18">
        <v>46020</v>
      </c>
      <c r="D551" s="18">
        <v>46024</v>
      </c>
      <c r="E551" s="14">
        <v>91</v>
      </c>
      <c r="F551" s="14" t="s">
        <v>118</v>
      </c>
      <c r="G551" s="14" t="s">
        <v>119</v>
      </c>
      <c r="H551" s="15">
        <f>IFERROR(VLOOKUP(B551,Orders!$A:$I,6,0),"")</f>
        <v>389.21</v>
      </c>
      <c r="I551" s="14" t="str">
        <f>IFERROR(VLOOKUP(B551,Orders!$A:$I,8,0),"")</f>
        <v>FOB Shipping Point</v>
      </c>
      <c r="J551" s="16">
        <f t="shared" si="19"/>
        <v>46020</v>
      </c>
      <c r="K551" s="15">
        <f t="shared" si="18"/>
        <v>35418.11</v>
      </c>
      <c r="L551" s="14" t="str">
        <f>IF(H551="","Excluded - no order",IF(J551&lt;Assumptions!$B$3,"Pre-Q4",IF(J551&lt;=Assumptions!$B$4,"Q4 2025","Deferred Q1 2026")))</f>
        <v>Q4 2025</v>
      </c>
    </row>
    <row r="552" spans="1:12" ht="15" customHeight="1" x14ac:dyDescent="0.2">
      <c r="A552" s="14" t="s">
        <v>1329</v>
      </c>
      <c r="B552" s="14" t="s">
        <v>1328</v>
      </c>
      <c r="C552" s="18">
        <v>46032</v>
      </c>
      <c r="D552" s="18">
        <v>46036</v>
      </c>
      <c r="E552" s="14">
        <v>51</v>
      </c>
      <c r="F552" s="14" t="s">
        <v>122</v>
      </c>
      <c r="G552" s="14" t="s">
        <v>123</v>
      </c>
      <c r="H552" s="15">
        <f>IFERROR(VLOOKUP(B552,Orders!$A:$I,6,0),"")</f>
        <v>389.21</v>
      </c>
      <c r="I552" s="14" t="str">
        <f>IFERROR(VLOOKUP(B552,Orders!$A:$I,8,0),"")</f>
        <v>FOB Shipping Point</v>
      </c>
      <c r="J552" s="16">
        <f t="shared" si="19"/>
        <v>46032</v>
      </c>
      <c r="K552" s="15">
        <f t="shared" si="18"/>
        <v>19849.71</v>
      </c>
      <c r="L552" s="14" t="str">
        <f>IF(H552="","Excluded - no order",IF(J552&lt;Assumptions!$B$3,"Pre-Q4",IF(J552&lt;=Assumptions!$B$4,"Q4 2025","Deferred Q1 2026")))</f>
        <v>Deferred Q1 2026</v>
      </c>
    </row>
    <row r="553" spans="1:12" ht="15" customHeight="1" x14ac:dyDescent="0.2">
      <c r="A553" s="14" t="s">
        <v>1330</v>
      </c>
      <c r="B553" s="14" t="s">
        <v>1331</v>
      </c>
      <c r="C553" s="18">
        <v>45997</v>
      </c>
      <c r="D553" s="18">
        <v>46003</v>
      </c>
      <c r="E553" s="14">
        <v>170</v>
      </c>
      <c r="F553" s="14" t="s">
        <v>122</v>
      </c>
      <c r="G553" s="14" t="s">
        <v>123</v>
      </c>
      <c r="H553" s="15">
        <f>IFERROR(VLOOKUP(B553,Orders!$A:$I,6,0),"")</f>
        <v>278.87</v>
      </c>
      <c r="I553" s="14" t="str">
        <f>IFERROR(VLOOKUP(B553,Orders!$A:$I,8,0),"")</f>
        <v>FOB Shipping Point</v>
      </c>
      <c r="J553" s="16">
        <f t="shared" si="19"/>
        <v>45997</v>
      </c>
      <c r="K553" s="15">
        <f t="shared" si="18"/>
        <v>47407.9</v>
      </c>
      <c r="L553" s="14" t="str">
        <f>IF(H553="","Excluded - no order",IF(J553&lt;Assumptions!$B$3,"Pre-Q4",IF(J553&lt;=Assumptions!$B$4,"Q4 2025","Deferred Q1 2026")))</f>
        <v>Q4 2025</v>
      </c>
    </row>
    <row r="554" spans="1:12" ht="15" customHeight="1" x14ac:dyDescent="0.2">
      <c r="A554" s="14" t="s">
        <v>1332</v>
      </c>
      <c r="B554" s="14" t="s">
        <v>1333</v>
      </c>
      <c r="C554" s="18">
        <v>46018</v>
      </c>
      <c r="D554" s="18">
        <v>46020</v>
      </c>
      <c r="E554" s="14">
        <v>1949</v>
      </c>
      <c r="F554" s="14" t="s">
        <v>149</v>
      </c>
      <c r="G554" s="14" t="s">
        <v>150</v>
      </c>
      <c r="H554" s="15">
        <f>IFERROR(VLOOKUP(B554,Orders!$A:$I,6,0),"")</f>
        <v>201.07</v>
      </c>
      <c r="I554" s="14" t="str">
        <f>IFERROR(VLOOKUP(B554,Orders!$A:$I,8,0),"")</f>
        <v>FOB Shipping Point</v>
      </c>
      <c r="J554" s="16">
        <f t="shared" si="19"/>
        <v>46018</v>
      </c>
      <c r="K554" s="15">
        <f t="shared" si="18"/>
        <v>391885.43</v>
      </c>
      <c r="L554" s="14" t="str">
        <f>IF(H554="","Excluded - no order",IF(J554&lt;Assumptions!$B$3,"Pre-Q4",IF(J554&lt;=Assumptions!$B$4,"Q4 2025","Deferred Q1 2026")))</f>
        <v>Q4 2025</v>
      </c>
    </row>
    <row r="555" spans="1:12" ht="15" customHeight="1" x14ac:dyDescent="0.2">
      <c r="A555" s="14" t="s">
        <v>1334</v>
      </c>
      <c r="B555" s="14" t="s">
        <v>1335</v>
      </c>
      <c r="C555" s="18">
        <v>46020</v>
      </c>
      <c r="D555" s="18">
        <v>46021</v>
      </c>
      <c r="E555" s="14">
        <v>391</v>
      </c>
      <c r="F555" s="14" t="s">
        <v>1336</v>
      </c>
      <c r="G555" s="14" t="s">
        <v>1337</v>
      </c>
      <c r="H555" s="15">
        <f>IFERROR(VLOOKUP(B555,Orders!$A:$I,6,0),"")</f>
        <v>417.76</v>
      </c>
      <c r="I555" s="14" t="str">
        <f>IFERROR(VLOOKUP(B555,Orders!$A:$I,8,0),"")</f>
        <v>FOB Shipping Point</v>
      </c>
      <c r="J555" s="16">
        <f t="shared" si="19"/>
        <v>46020</v>
      </c>
      <c r="K555" s="15">
        <f t="shared" si="18"/>
        <v>163344.16</v>
      </c>
      <c r="L555" s="14" t="str">
        <f>IF(H555="","Excluded - no order",IF(J555&lt;Assumptions!$B$3,"Pre-Q4",IF(J555&lt;=Assumptions!$B$4,"Q4 2025","Deferred Q1 2026")))</f>
        <v>Q4 2025</v>
      </c>
    </row>
    <row r="556" spans="1:12" ht="15" customHeight="1" x14ac:dyDescent="0.2">
      <c r="A556" s="14" t="s">
        <v>1338</v>
      </c>
      <c r="B556" s="14" t="s">
        <v>1339</v>
      </c>
      <c r="C556" s="18">
        <v>45958</v>
      </c>
      <c r="D556" s="18">
        <v>45960</v>
      </c>
      <c r="E556" s="14">
        <v>59</v>
      </c>
      <c r="F556" s="14" t="s">
        <v>284</v>
      </c>
      <c r="G556" s="14" t="s">
        <v>285</v>
      </c>
      <c r="H556" s="15">
        <f>IFERROR(VLOOKUP(B556,Orders!$A:$I,6,0),"")</f>
        <v>485.83</v>
      </c>
      <c r="I556" s="14" t="str">
        <f>IFERROR(VLOOKUP(B556,Orders!$A:$I,8,0),"")</f>
        <v>FOB Destination</v>
      </c>
      <c r="J556" s="16">
        <f t="shared" si="19"/>
        <v>45960</v>
      </c>
      <c r="K556" s="15">
        <f t="shared" si="18"/>
        <v>28663.969999999998</v>
      </c>
      <c r="L556" s="14" t="str">
        <f>IF(H556="","Excluded - no order",IF(J556&lt;Assumptions!$B$3,"Pre-Q4",IF(J556&lt;=Assumptions!$B$4,"Q4 2025","Deferred Q1 2026")))</f>
        <v>Q4 2025</v>
      </c>
    </row>
    <row r="557" spans="1:12" ht="15" customHeight="1" x14ac:dyDescent="0.2">
      <c r="A557" s="14" t="s">
        <v>1340</v>
      </c>
      <c r="B557" s="14" t="s">
        <v>1341</v>
      </c>
      <c r="C557" s="18">
        <v>45970</v>
      </c>
      <c r="D557" s="18">
        <v>45973</v>
      </c>
      <c r="E557" s="14">
        <v>1808</v>
      </c>
      <c r="F557" s="14" t="s">
        <v>77</v>
      </c>
      <c r="G557" s="14" t="s">
        <v>78</v>
      </c>
      <c r="H557" s="15">
        <f>IFERROR(VLOOKUP(B557,Orders!$A:$I,6,0),"")</f>
        <v>384.3</v>
      </c>
      <c r="I557" s="14" t="str">
        <f>IFERROR(VLOOKUP(B557,Orders!$A:$I,8,0),"")</f>
        <v>FOB Destination</v>
      </c>
      <c r="J557" s="16">
        <f t="shared" si="19"/>
        <v>45973</v>
      </c>
      <c r="K557" s="15">
        <f t="shared" si="18"/>
        <v>694814.4</v>
      </c>
      <c r="L557" s="14" t="str">
        <f>IF(H557="","Excluded - no order",IF(J557&lt;Assumptions!$B$3,"Pre-Q4",IF(J557&lt;=Assumptions!$B$4,"Q4 2025","Deferred Q1 2026")))</f>
        <v>Q4 2025</v>
      </c>
    </row>
    <row r="558" spans="1:12" ht="15" customHeight="1" x14ac:dyDescent="0.2">
      <c r="A558" s="14" t="s">
        <v>1342</v>
      </c>
      <c r="B558" s="14" t="s">
        <v>1343</v>
      </c>
      <c r="C558" s="18">
        <v>45944</v>
      </c>
      <c r="D558" s="18">
        <v>45946</v>
      </c>
      <c r="E558" s="14">
        <v>1293</v>
      </c>
      <c r="F558" s="14" t="s">
        <v>77</v>
      </c>
      <c r="G558" s="14" t="s">
        <v>78</v>
      </c>
      <c r="H558" s="15">
        <f>IFERROR(VLOOKUP(B558,Orders!$A:$I,6,0),"")</f>
        <v>254.41</v>
      </c>
      <c r="I558" s="14" t="str">
        <f>IFERROR(VLOOKUP(B558,Orders!$A:$I,8,0),"")</f>
        <v>FOB Shipping Point</v>
      </c>
      <c r="J558" s="16">
        <f t="shared" si="19"/>
        <v>45944</v>
      </c>
      <c r="K558" s="15">
        <f t="shared" si="18"/>
        <v>328952.13</v>
      </c>
      <c r="L558" s="14" t="str">
        <f>IF(H558="","Excluded - no order",IF(J558&lt;Assumptions!$B$3,"Pre-Q4",IF(J558&lt;=Assumptions!$B$4,"Q4 2025","Deferred Q1 2026")))</f>
        <v>Q4 2025</v>
      </c>
    </row>
    <row r="559" spans="1:12" ht="15" customHeight="1" x14ac:dyDescent="0.2">
      <c r="A559" s="14" t="s">
        <v>1344</v>
      </c>
      <c r="B559" s="14" t="s">
        <v>1343</v>
      </c>
      <c r="C559" s="18">
        <v>45946</v>
      </c>
      <c r="D559" s="18">
        <v>45948</v>
      </c>
      <c r="E559" s="14">
        <v>384</v>
      </c>
      <c r="F559" s="14" t="s">
        <v>77</v>
      </c>
      <c r="G559" s="14" t="s">
        <v>78</v>
      </c>
      <c r="H559" s="15">
        <f>IFERROR(VLOOKUP(B559,Orders!$A:$I,6,0),"")</f>
        <v>254.41</v>
      </c>
      <c r="I559" s="14" t="str">
        <f>IFERROR(VLOOKUP(B559,Orders!$A:$I,8,0),"")</f>
        <v>FOB Shipping Point</v>
      </c>
      <c r="J559" s="16">
        <f t="shared" si="19"/>
        <v>45946</v>
      </c>
      <c r="K559" s="15">
        <f t="shared" si="18"/>
        <v>97693.440000000002</v>
      </c>
      <c r="L559" s="14" t="str">
        <f>IF(H559="","Excluded - no order",IF(J559&lt;Assumptions!$B$3,"Pre-Q4",IF(J559&lt;=Assumptions!$B$4,"Q4 2025","Deferred Q1 2026")))</f>
        <v>Q4 2025</v>
      </c>
    </row>
    <row r="560" spans="1:12" ht="15" customHeight="1" x14ac:dyDescent="0.2">
      <c r="A560" s="14" t="s">
        <v>1345</v>
      </c>
      <c r="B560" s="14" t="s">
        <v>1346</v>
      </c>
      <c r="C560" s="18">
        <v>45951</v>
      </c>
      <c r="D560" s="18">
        <v>45955</v>
      </c>
      <c r="E560" s="14">
        <v>1175</v>
      </c>
      <c r="F560" s="14" t="s">
        <v>149</v>
      </c>
      <c r="G560" s="14" t="s">
        <v>150</v>
      </c>
      <c r="H560" s="15">
        <f>IFERROR(VLOOKUP(B560,Orders!$A:$I,6,0),"")</f>
        <v>93.61</v>
      </c>
      <c r="I560" s="14" t="str">
        <f>IFERROR(VLOOKUP(B560,Orders!$A:$I,8,0),"")</f>
        <v>FOB Destination</v>
      </c>
      <c r="J560" s="16">
        <f t="shared" si="19"/>
        <v>45955</v>
      </c>
      <c r="K560" s="15">
        <f t="shared" si="18"/>
        <v>109991.75</v>
      </c>
      <c r="L560" s="14" t="str">
        <f>IF(H560="","Excluded - no order",IF(J560&lt;Assumptions!$B$3,"Pre-Q4",IF(J560&lt;=Assumptions!$B$4,"Q4 2025","Deferred Q1 2026")))</f>
        <v>Q4 2025</v>
      </c>
    </row>
    <row r="561" spans="1:12" ht="15" customHeight="1" x14ac:dyDescent="0.2">
      <c r="A561" s="14" t="s">
        <v>1347</v>
      </c>
      <c r="B561" s="14" t="s">
        <v>1346</v>
      </c>
      <c r="C561" s="18">
        <v>45953</v>
      </c>
      <c r="D561" s="18">
        <v>45957</v>
      </c>
      <c r="E561" s="14">
        <v>466</v>
      </c>
      <c r="F561" s="14" t="s">
        <v>73</v>
      </c>
      <c r="G561" s="14" t="s">
        <v>74</v>
      </c>
      <c r="H561" s="15">
        <f>IFERROR(VLOOKUP(B561,Orders!$A:$I,6,0),"")</f>
        <v>93.61</v>
      </c>
      <c r="I561" s="14" t="str">
        <f>IFERROR(VLOOKUP(B561,Orders!$A:$I,8,0),"")</f>
        <v>FOB Destination</v>
      </c>
      <c r="J561" s="16">
        <f t="shared" si="19"/>
        <v>45957</v>
      </c>
      <c r="K561" s="15">
        <f t="shared" si="18"/>
        <v>43622.26</v>
      </c>
      <c r="L561" s="14" t="str">
        <f>IF(H561="","Excluded - no order",IF(J561&lt;Assumptions!$B$3,"Pre-Q4",IF(J561&lt;=Assumptions!$B$4,"Q4 2025","Deferred Q1 2026")))</f>
        <v>Q4 2025</v>
      </c>
    </row>
    <row r="562" spans="1:12" ht="15" customHeight="1" x14ac:dyDescent="0.2">
      <c r="A562" s="14" t="s">
        <v>1348</v>
      </c>
      <c r="B562" s="14" t="s">
        <v>1349</v>
      </c>
      <c r="C562" s="18">
        <v>46018</v>
      </c>
      <c r="D562" s="18">
        <v>46019</v>
      </c>
      <c r="E562" s="14">
        <v>1055</v>
      </c>
      <c r="F562" s="14" t="s">
        <v>73</v>
      </c>
      <c r="G562" s="14" t="s">
        <v>74</v>
      </c>
      <c r="H562" s="15">
        <f>IFERROR(VLOOKUP(B562,Orders!$A:$I,6,0),"")</f>
        <v>261.06</v>
      </c>
      <c r="I562" s="14" t="str">
        <f>IFERROR(VLOOKUP(B562,Orders!$A:$I,8,0),"")</f>
        <v>FOB Destination</v>
      </c>
      <c r="J562" s="16">
        <f t="shared" si="19"/>
        <v>46019</v>
      </c>
      <c r="K562" s="15">
        <f t="shared" si="18"/>
        <v>275418.3</v>
      </c>
      <c r="L562" s="14" t="str">
        <f>IF(H562="","Excluded - no order",IF(J562&lt;Assumptions!$B$3,"Pre-Q4",IF(J562&lt;=Assumptions!$B$4,"Q4 2025","Deferred Q1 2026")))</f>
        <v>Q4 2025</v>
      </c>
    </row>
    <row r="563" spans="1:12" ht="15" customHeight="1" x14ac:dyDescent="0.2">
      <c r="A563" s="14" t="s">
        <v>1350</v>
      </c>
      <c r="B563" s="14" t="s">
        <v>1351</v>
      </c>
      <c r="C563" s="18">
        <v>45981</v>
      </c>
      <c r="D563" s="18">
        <v>45984</v>
      </c>
      <c r="E563" s="14">
        <v>525</v>
      </c>
      <c r="F563" s="14" t="s">
        <v>1352</v>
      </c>
      <c r="G563" s="14" t="s">
        <v>1353</v>
      </c>
      <c r="H563" s="15">
        <f>IFERROR(VLOOKUP(B563,Orders!$A:$I,6,0),"")</f>
        <v>8.5299999999999994</v>
      </c>
      <c r="I563" s="14" t="str">
        <f>IFERROR(VLOOKUP(B563,Orders!$A:$I,8,0),"")</f>
        <v>FOB Shipping Point</v>
      </c>
      <c r="J563" s="16">
        <f t="shared" si="19"/>
        <v>45981</v>
      </c>
      <c r="K563" s="15">
        <f t="shared" si="18"/>
        <v>4478.25</v>
      </c>
      <c r="L563" s="14" t="str">
        <f>IF(H563="","Excluded - no order",IF(J563&lt;Assumptions!$B$3,"Pre-Q4",IF(J563&lt;=Assumptions!$B$4,"Q4 2025","Deferred Q1 2026")))</f>
        <v>Q4 2025</v>
      </c>
    </row>
    <row r="564" spans="1:12" ht="15" customHeight="1" x14ac:dyDescent="0.2">
      <c r="A564" s="14" t="s">
        <v>1354</v>
      </c>
      <c r="B564" s="14" t="s">
        <v>1351</v>
      </c>
      <c r="C564" s="18">
        <v>45983</v>
      </c>
      <c r="D564" s="18">
        <v>45986</v>
      </c>
      <c r="E564" s="14">
        <v>156</v>
      </c>
      <c r="F564" s="14" t="s">
        <v>1355</v>
      </c>
      <c r="G564" s="14" t="s">
        <v>1356</v>
      </c>
      <c r="H564" s="15">
        <f>IFERROR(VLOOKUP(B564,Orders!$A:$I,6,0),"")</f>
        <v>8.5299999999999994</v>
      </c>
      <c r="I564" s="14" t="str">
        <f>IFERROR(VLOOKUP(B564,Orders!$A:$I,8,0),"")</f>
        <v>FOB Shipping Point</v>
      </c>
      <c r="J564" s="16">
        <f t="shared" si="19"/>
        <v>45983</v>
      </c>
      <c r="K564" s="15">
        <f t="shared" si="18"/>
        <v>1330.6799999999998</v>
      </c>
      <c r="L564" s="14" t="str">
        <f>IF(H564="","Excluded - no order",IF(J564&lt;Assumptions!$B$3,"Pre-Q4",IF(J564&lt;=Assumptions!$B$4,"Q4 2025","Deferred Q1 2026")))</f>
        <v>Q4 2025</v>
      </c>
    </row>
    <row r="565" spans="1:12" ht="15" customHeight="1" x14ac:dyDescent="0.2">
      <c r="A565" s="14" t="s">
        <v>1357</v>
      </c>
      <c r="B565" s="14" t="s">
        <v>1358</v>
      </c>
      <c r="C565" s="18">
        <v>46020</v>
      </c>
      <c r="D565" s="18">
        <v>46022</v>
      </c>
      <c r="E565" s="14">
        <v>533</v>
      </c>
      <c r="F565" s="14" t="s">
        <v>1359</v>
      </c>
      <c r="G565" s="14" t="s">
        <v>1360</v>
      </c>
      <c r="H565" s="15">
        <f>IFERROR(VLOOKUP(B565,Orders!$A:$I,6,0),"")</f>
        <v>439.11</v>
      </c>
      <c r="I565" s="14" t="str">
        <f>IFERROR(VLOOKUP(B565,Orders!$A:$I,8,0),"")</f>
        <v>FOB Shipping Point</v>
      </c>
      <c r="J565" s="16">
        <f t="shared" si="19"/>
        <v>46020</v>
      </c>
      <c r="K565" s="15">
        <f t="shared" si="18"/>
        <v>234045.63</v>
      </c>
      <c r="L565" s="14" t="str">
        <f>IF(H565="","Excluded - no order",IF(J565&lt;Assumptions!$B$3,"Pre-Q4",IF(J565&lt;=Assumptions!$B$4,"Q4 2025","Deferred Q1 2026")))</f>
        <v>Q4 2025</v>
      </c>
    </row>
    <row r="566" spans="1:12" ht="15" customHeight="1" x14ac:dyDescent="0.2">
      <c r="A566" s="14" t="s">
        <v>1361</v>
      </c>
      <c r="B566" s="14" t="s">
        <v>1362</v>
      </c>
      <c r="C566" s="18">
        <v>45970</v>
      </c>
      <c r="D566" s="18">
        <v>45976</v>
      </c>
      <c r="E566" s="14">
        <v>24</v>
      </c>
      <c r="F566" s="14" t="s">
        <v>112</v>
      </c>
      <c r="G566" s="14" t="s">
        <v>113</v>
      </c>
      <c r="H566" s="15">
        <f>IFERROR(VLOOKUP(B566,Orders!$A:$I,6,0),"")</f>
        <v>197.21</v>
      </c>
      <c r="I566" s="14" t="str">
        <f>IFERROR(VLOOKUP(B566,Orders!$A:$I,8,0),"")</f>
        <v>FOB Shipping Point</v>
      </c>
      <c r="J566" s="16">
        <f t="shared" si="19"/>
        <v>45970</v>
      </c>
      <c r="K566" s="15">
        <f t="shared" si="18"/>
        <v>4733.04</v>
      </c>
      <c r="L566" s="14" t="str">
        <f>IF(H566="","Excluded - no order",IF(J566&lt;Assumptions!$B$3,"Pre-Q4",IF(J566&lt;=Assumptions!$B$4,"Q4 2025","Deferred Q1 2026")))</f>
        <v>Q4 2025</v>
      </c>
    </row>
    <row r="567" spans="1:12" ht="15" customHeight="1" x14ac:dyDescent="0.2">
      <c r="A567" s="14" t="s">
        <v>1363</v>
      </c>
      <c r="B567" s="14" t="s">
        <v>1364</v>
      </c>
      <c r="C567" s="18">
        <v>45948</v>
      </c>
      <c r="D567" s="18">
        <v>45954</v>
      </c>
      <c r="E567" s="14">
        <v>1058</v>
      </c>
      <c r="F567" s="14" t="s">
        <v>1365</v>
      </c>
      <c r="G567" s="14" t="s">
        <v>1366</v>
      </c>
      <c r="H567" s="15">
        <f>IFERROR(VLOOKUP(B567,Orders!$A:$I,6,0),"")</f>
        <v>119.46</v>
      </c>
      <c r="I567" s="14" t="str">
        <f>IFERROR(VLOOKUP(B567,Orders!$A:$I,8,0),"")</f>
        <v>FOB Shipping Point</v>
      </c>
      <c r="J567" s="16">
        <f t="shared" si="19"/>
        <v>45948</v>
      </c>
      <c r="K567" s="15">
        <f t="shared" si="18"/>
        <v>126388.68</v>
      </c>
      <c r="L567" s="14" t="str">
        <f>IF(H567="","Excluded - no order",IF(J567&lt;Assumptions!$B$3,"Pre-Q4",IF(J567&lt;=Assumptions!$B$4,"Q4 2025","Deferred Q1 2026")))</f>
        <v>Q4 2025</v>
      </c>
    </row>
    <row r="568" spans="1:12" ht="15" customHeight="1" x14ac:dyDescent="0.2">
      <c r="A568" s="14" t="s">
        <v>1367</v>
      </c>
      <c r="B568" s="14" t="s">
        <v>1362</v>
      </c>
      <c r="C568" s="18">
        <v>45972</v>
      </c>
      <c r="D568" s="18">
        <v>45978</v>
      </c>
      <c r="E568" s="14">
        <v>17</v>
      </c>
      <c r="F568" s="14" t="s">
        <v>118</v>
      </c>
      <c r="G568" s="14" t="s">
        <v>119</v>
      </c>
      <c r="H568" s="15">
        <f>IFERROR(VLOOKUP(B568,Orders!$A:$I,6,0),"")</f>
        <v>197.21</v>
      </c>
      <c r="I568" s="14" t="str">
        <f>IFERROR(VLOOKUP(B568,Orders!$A:$I,8,0),"")</f>
        <v>FOB Shipping Point</v>
      </c>
      <c r="J568" s="16">
        <f t="shared" si="19"/>
        <v>45972</v>
      </c>
      <c r="K568" s="15">
        <f t="shared" si="18"/>
        <v>3352.57</v>
      </c>
      <c r="L568" s="14" t="str">
        <f>IF(H568="","Excluded - no order",IF(J568&lt;Assumptions!$B$3,"Pre-Q4",IF(J568&lt;=Assumptions!$B$4,"Q4 2025","Deferred Q1 2026")))</f>
        <v>Q4 2025</v>
      </c>
    </row>
    <row r="569" spans="1:12" ht="15" customHeight="1" x14ac:dyDescent="0.2">
      <c r="A569" s="14" t="s">
        <v>1368</v>
      </c>
      <c r="B569" s="14" t="s">
        <v>1369</v>
      </c>
      <c r="C569" s="18">
        <v>45974</v>
      </c>
      <c r="D569" s="18">
        <v>45977</v>
      </c>
      <c r="E569" s="14">
        <v>384</v>
      </c>
      <c r="F569" s="14" t="s">
        <v>100</v>
      </c>
      <c r="G569" s="14" t="s">
        <v>101</v>
      </c>
      <c r="H569" s="15">
        <f>IFERROR(VLOOKUP(B569,Orders!$A:$I,6,0),"")</f>
        <v>342.12</v>
      </c>
      <c r="I569" s="14" t="str">
        <f>IFERROR(VLOOKUP(B569,Orders!$A:$I,8,0),"")</f>
        <v>FOB Shipping Point</v>
      </c>
      <c r="J569" s="16">
        <f t="shared" si="19"/>
        <v>45974</v>
      </c>
      <c r="K569" s="15">
        <f t="shared" si="18"/>
        <v>131374.08000000002</v>
      </c>
      <c r="L569" s="14" t="str">
        <f>IF(H569="","Excluded - no order",IF(J569&lt;Assumptions!$B$3,"Pre-Q4",IF(J569&lt;=Assumptions!$B$4,"Q4 2025","Deferred Q1 2026")))</f>
        <v>Q4 2025</v>
      </c>
    </row>
    <row r="570" spans="1:12" ht="15" customHeight="1" x14ac:dyDescent="0.2">
      <c r="A570" s="14" t="s">
        <v>1370</v>
      </c>
      <c r="B570" s="14" t="s">
        <v>1371</v>
      </c>
      <c r="C570" s="18">
        <v>45975</v>
      </c>
      <c r="D570" s="18">
        <v>45980</v>
      </c>
      <c r="E570" s="14">
        <v>280</v>
      </c>
      <c r="F570" s="14" t="s">
        <v>1372</v>
      </c>
      <c r="G570" s="14" t="s">
        <v>1373</v>
      </c>
      <c r="H570" s="15" t="str">
        <f>IFERROR(VLOOKUP(B570,Orders!$A:$I,6,0),"")</f>
        <v/>
      </c>
      <c r="I570" s="14" t="str">
        <f>IFERROR(VLOOKUP(B570,Orders!$A:$I,8,0),"")</f>
        <v/>
      </c>
      <c r="J570" s="16" t="str">
        <f t="shared" si="19"/>
        <v/>
      </c>
      <c r="K570" s="15">
        <f t="shared" si="18"/>
        <v>0</v>
      </c>
      <c r="L570" s="14" t="str">
        <f>IF(H570="","Excluded - no order",IF(J570&lt;Assumptions!$B$3,"Pre-Q4",IF(J570&lt;=Assumptions!$B$4,"Q4 2025","Deferred Q1 2026")))</f>
        <v>Excluded - no order</v>
      </c>
    </row>
    <row r="571" spans="1:12" ht="15" customHeight="1" x14ac:dyDescent="0.2">
      <c r="A571" s="14" t="s">
        <v>1374</v>
      </c>
      <c r="B571" s="14" t="s">
        <v>1375</v>
      </c>
      <c r="C571" s="18">
        <v>46005</v>
      </c>
      <c r="D571" s="18">
        <v>46008</v>
      </c>
      <c r="E571" s="14">
        <v>1745</v>
      </c>
      <c r="F571" s="14" t="s">
        <v>199</v>
      </c>
      <c r="G571" s="14" t="s">
        <v>200</v>
      </c>
      <c r="H571" s="15">
        <f>IFERROR(VLOOKUP(B571,Orders!$A:$I,6,0),"")</f>
        <v>200.73</v>
      </c>
      <c r="I571" s="14" t="str">
        <f>IFERROR(VLOOKUP(B571,Orders!$A:$I,8,0),"")</f>
        <v>FOB Destination</v>
      </c>
      <c r="J571" s="16">
        <f t="shared" si="19"/>
        <v>46008</v>
      </c>
      <c r="K571" s="15">
        <f t="shared" si="18"/>
        <v>350273.85</v>
      </c>
      <c r="L571" s="14" t="str">
        <f>IF(H571="","Excluded - no order",IF(J571&lt;Assumptions!$B$3,"Pre-Q4",IF(J571&lt;=Assumptions!$B$4,"Q4 2025","Deferred Q1 2026")))</f>
        <v>Q4 2025</v>
      </c>
    </row>
    <row r="572" spans="1:12" ht="15" customHeight="1" x14ac:dyDescent="0.2">
      <c r="A572" s="14" t="s">
        <v>1376</v>
      </c>
      <c r="B572" s="14" t="s">
        <v>1377</v>
      </c>
      <c r="C572" s="18">
        <v>46019</v>
      </c>
      <c r="D572" s="18">
        <v>46021</v>
      </c>
      <c r="E572" s="14">
        <v>1327</v>
      </c>
      <c r="F572" s="14" t="s">
        <v>112</v>
      </c>
      <c r="G572" s="14" t="s">
        <v>113</v>
      </c>
      <c r="H572" s="15">
        <f>IFERROR(VLOOKUP(B572,Orders!$A:$I,6,0),"")</f>
        <v>111.92</v>
      </c>
      <c r="I572" s="14" t="str">
        <f>IFERROR(VLOOKUP(B572,Orders!$A:$I,8,0),"")</f>
        <v>FOB Shipping Point</v>
      </c>
      <c r="J572" s="16">
        <f t="shared" si="19"/>
        <v>46019</v>
      </c>
      <c r="K572" s="15">
        <f t="shared" si="18"/>
        <v>148517.84</v>
      </c>
      <c r="L572" s="14" t="str">
        <f>IF(H572="","Excluded - no order",IF(J572&lt;Assumptions!$B$3,"Pre-Q4",IF(J572&lt;=Assumptions!$B$4,"Q4 2025","Deferred Q1 2026")))</f>
        <v>Q4 2025</v>
      </c>
    </row>
    <row r="573" spans="1:12" ht="15" customHeight="1" x14ac:dyDescent="0.2">
      <c r="A573" s="14" t="s">
        <v>1378</v>
      </c>
      <c r="B573" s="14" t="s">
        <v>1379</v>
      </c>
      <c r="C573" s="18">
        <v>46012</v>
      </c>
      <c r="D573" s="18">
        <v>46017</v>
      </c>
      <c r="E573" s="14">
        <v>821</v>
      </c>
      <c r="F573" s="14" t="s">
        <v>1380</v>
      </c>
      <c r="G573" s="14" t="s">
        <v>1381</v>
      </c>
      <c r="H573" s="15">
        <f>IFERROR(VLOOKUP(B573,Orders!$A:$I,6,0),"")</f>
        <v>439.56</v>
      </c>
      <c r="I573" s="14" t="str">
        <f>IFERROR(VLOOKUP(B573,Orders!$A:$I,8,0),"")</f>
        <v>FOB Shipping Point</v>
      </c>
      <c r="J573" s="16">
        <f t="shared" si="19"/>
        <v>46012</v>
      </c>
      <c r="K573" s="15">
        <f t="shared" si="18"/>
        <v>360878.76</v>
      </c>
      <c r="L573" s="14" t="str">
        <f>IF(H573="","Excluded - no order",IF(J573&lt;Assumptions!$B$3,"Pre-Q4",IF(J573&lt;=Assumptions!$B$4,"Q4 2025","Deferred Q1 2026")))</f>
        <v>Q4 2025</v>
      </c>
    </row>
    <row r="574" spans="1:12" ht="15" customHeight="1" x14ac:dyDescent="0.2">
      <c r="A574" s="14" t="s">
        <v>1382</v>
      </c>
      <c r="B574" s="14" t="s">
        <v>1383</v>
      </c>
      <c r="C574" s="18">
        <v>46011</v>
      </c>
      <c r="D574" s="18">
        <v>46014</v>
      </c>
      <c r="E574" s="14">
        <v>1934</v>
      </c>
      <c r="F574" s="14" t="s">
        <v>100</v>
      </c>
      <c r="G574" s="14" t="s">
        <v>101</v>
      </c>
      <c r="H574" s="15">
        <f>IFERROR(VLOOKUP(B574,Orders!$A:$I,6,0),"")</f>
        <v>282.70999999999998</v>
      </c>
      <c r="I574" s="14" t="str">
        <f>IFERROR(VLOOKUP(B574,Orders!$A:$I,8,0),"")</f>
        <v>FOB Destination</v>
      </c>
      <c r="J574" s="16">
        <f t="shared" si="19"/>
        <v>46014</v>
      </c>
      <c r="K574" s="15">
        <f t="shared" si="18"/>
        <v>546761.14</v>
      </c>
      <c r="L574" s="14" t="str">
        <f>IF(H574="","Excluded - no order",IF(J574&lt;Assumptions!$B$3,"Pre-Q4",IF(J574&lt;=Assumptions!$B$4,"Q4 2025","Deferred Q1 2026")))</f>
        <v>Q4 2025</v>
      </c>
    </row>
    <row r="575" spans="1:12" ht="15" customHeight="1" x14ac:dyDescent="0.2">
      <c r="A575" s="14" t="s">
        <v>1384</v>
      </c>
      <c r="B575" s="14" t="s">
        <v>1385</v>
      </c>
      <c r="C575" s="18">
        <v>45998</v>
      </c>
      <c r="D575" s="18">
        <v>46002</v>
      </c>
      <c r="E575" s="14">
        <v>1371</v>
      </c>
      <c r="F575" s="14" t="s">
        <v>118</v>
      </c>
      <c r="G575" s="14" t="s">
        <v>119</v>
      </c>
      <c r="H575" s="15">
        <f>IFERROR(VLOOKUP(B575,Orders!$A:$I,6,0),"")</f>
        <v>124.15</v>
      </c>
      <c r="I575" s="14" t="str">
        <f>IFERROR(VLOOKUP(B575,Orders!$A:$I,8,0),"")</f>
        <v>FOB Shipping Point</v>
      </c>
      <c r="J575" s="16">
        <f t="shared" si="19"/>
        <v>45998</v>
      </c>
      <c r="K575" s="15">
        <f t="shared" si="18"/>
        <v>170209.65</v>
      </c>
      <c r="L575" s="14" t="str">
        <f>IF(H575="","Excluded - no order",IF(J575&lt;Assumptions!$B$3,"Pre-Q4",IF(J575&lt;=Assumptions!$B$4,"Q4 2025","Deferred Q1 2026")))</f>
        <v>Q4 2025</v>
      </c>
    </row>
    <row r="576" spans="1:12" ht="15" customHeight="1" x14ac:dyDescent="0.2">
      <c r="A576" s="14" t="s">
        <v>1386</v>
      </c>
      <c r="B576" s="14" t="s">
        <v>1387</v>
      </c>
      <c r="C576" s="18">
        <v>45989</v>
      </c>
      <c r="D576" s="18">
        <v>45990</v>
      </c>
      <c r="E576" s="14">
        <v>1618</v>
      </c>
      <c r="F576" s="14" t="s">
        <v>292</v>
      </c>
      <c r="G576" s="14" t="s">
        <v>293</v>
      </c>
      <c r="H576" s="15">
        <f>IFERROR(VLOOKUP(B576,Orders!$A:$I,6,0),"")</f>
        <v>154.08000000000001</v>
      </c>
      <c r="I576" s="14" t="str">
        <f>IFERROR(VLOOKUP(B576,Orders!$A:$I,8,0),"")</f>
        <v>FOB Destination</v>
      </c>
      <c r="J576" s="16">
        <f t="shared" si="19"/>
        <v>45990</v>
      </c>
      <c r="K576" s="15">
        <f t="shared" si="18"/>
        <v>249301.44000000003</v>
      </c>
      <c r="L576" s="14" t="str">
        <f>IF(H576="","Excluded - no order",IF(J576&lt;Assumptions!$B$3,"Pre-Q4",IF(J576&lt;=Assumptions!$B$4,"Q4 2025","Deferred Q1 2026")))</f>
        <v>Q4 2025</v>
      </c>
    </row>
    <row r="577" spans="1:12" ht="15" customHeight="1" x14ac:dyDescent="0.2">
      <c r="A577" s="14" t="s">
        <v>1388</v>
      </c>
      <c r="B577" s="14" t="s">
        <v>1389</v>
      </c>
      <c r="C577" s="18">
        <v>46007</v>
      </c>
      <c r="D577" s="18">
        <v>46011</v>
      </c>
      <c r="E577" s="14">
        <v>724</v>
      </c>
      <c r="F577" s="14" t="s">
        <v>122</v>
      </c>
      <c r="G577" s="14" t="s">
        <v>123</v>
      </c>
      <c r="H577" s="15">
        <f>IFERROR(VLOOKUP(B577,Orders!$A:$I,6,0),"")</f>
        <v>390.3</v>
      </c>
      <c r="I577" s="14" t="str">
        <f>IFERROR(VLOOKUP(B577,Orders!$A:$I,8,0),"")</f>
        <v>FOB Destination</v>
      </c>
      <c r="J577" s="16">
        <f t="shared" si="19"/>
        <v>46011</v>
      </c>
      <c r="K577" s="15">
        <f t="shared" si="18"/>
        <v>282577.2</v>
      </c>
      <c r="L577" s="14" t="str">
        <f>IF(H577="","Excluded - no order",IF(J577&lt;Assumptions!$B$3,"Pre-Q4",IF(J577&lt;=Assumptions!$B$4,"Q4 2025","Deferred Q1 2026")))</f>
        <v>Q4 2025</v>
      </c>
    </row>
    <row r="578" spans="1:12" ht="15" customHeight="1" x14ac:dyDescent="0.2">
      <c r="A578" s="14" t="s">
        <v>1390</v>
      </c>
      <c r="B578" s="14" t="s">
        <v>1391</v>
      </c>
      <c r="C578" s="18">
        <v>46003</v>
      </c>
      <c r="D578" s="18">
        <v>46005</v>
      </c>
      <c r="E578" s="14">
        <v>1069</v>
      </c>
      <c r="F578" s="14" t="s">
        <v>122</v>
      </c>
      <c r="G578" s="14" t="s">
        <v>123</v>
      </c>
      <c r="H578" s="15">
        <f>IFERROR(VLOOKUP(B578,Orders!$A:$I,6,0),"")</f>
        <v>37.83</v>
      </c>
      <c r="I578" s="14" t="str">
        <f>IFERROR(VLOOKUP(B578,Orders!$A:$I,8,0),"")</f>
        <v>FOB Shipping Point</v>
      </c>
      <c r="J578" s="16">
        <f t="shared" si="19"/>
        <v>46003</v>
      </c>
      <c r="K578" s="15">
        <f t="shared" ref="K578:K592" si="20">IF(H578="",0,E578*H578)</f>
        <v>40440.269999999997</v>
      </c>
      <c r="L578" s="14" t="str">
        <f>IF(H578="","Excluded - no order",IF(J578&lt;Assumptions!$B$3,"Pre-Q4",IF(J578&lt;=Assumptions!$B$4,"Q4 2025","Deferred Q1 2026")))</f>
        <v>Q4 2025</v>
      </c>
    </row>
    <row r="579" spans="1:12" ht="15" customHeight="1" x14ac:dyDescent="0.2">
      <c r="A579" s="14" t="s">
        <v>1392</v>
      </c>
      <c r="B579" s="14" t="s">
        <v>1393</v>
      </c>
      <c r="C579" s="18">
        <v>45988</v>
      </c>
      <c r="D579" s="18">
        <v>45992</v>
      </c>
      <c r="E579" s="14">
        <v>1742</v>
      </c>
      <c r="F579" s="14" t="s">
        <v>77</v>
      </c>
      <c r="G579" s="14" t="s">
        <v>78</v>
      </c>
      <c r="H579" s="15">
        <f>IFERROR(VLOOKUP(B579,Orders!$A:$I,6,0),"")</f>
        <v>76.91</v>
      </c>
      <c r="I579" s="14" t="str">
        <f>IFERROR(VLOOKUP(B579,Orders!$A:$I,8,0),"")</f>
        <v>FOB Destination</v>
      </c>
      <c r="J579" s="16">
        <f t="shared" si="19"/>
        <v>45992</v>
      </c>
      <c r="K579" s="15">
        <f t="shared" si="20"/>
        <v>133977.22</v>
      </c>
      <c r="L579" s="14" t="str">
        <f>IF(H579="","Excluded - no order",IF(J579&lt;Assumptions!$B$3,"Pre-Q4",IF(J579&lt;=Assumptions!$B$4,"Q4 2025","Deferred Q1 2026")))</f>
        <v>Q4 2025</v>
      </c>
    </row>
    <row r="580" spans="1:12" ht="15" customHeight="1" x14ac:dyDescent="0.2">
      <c r="A580" s="14" t="s">
        <v>1394</v>
      </c>
      <c r="B580" s="14" t="s">
        <v>1395</v>
      </c>
      <c r="C580" s="18">
        <v>45965</v>
      </c>
      <c r="D580" s="18">
        <v>45966</v>
      </c>
      <c r="E580" s="14">
        <v>1906</v>
      </c>
      <c r="F580" s="14" t="s">
        <v>1396</v>
      </c>
      <c r="G580" s="14" t="s">
        <v>1397</v>
      </c>
      <c r="H580" s="15">
        <f>IFERROR(VLOOKUP(B580,Orders!$A:$I,6,0),"")</f>
        <v>193.61</v>
      </c>
      <c r="I580" s="14" t="str">
        <f>IFERROR(VLOOKUP(B580,Orders!$A:$I,8,0),"")</f>
        <v>FOB Shipping Point</v>
      </c>
      <c r="J580" s="16">
        <f t="shared" si="19"/>
        <v>45965</v>
      </c>
      <c r="K580" s="15">
        <f t="shared" si="20"/>
        <v>369020.66000000003</v>
      </c>
      <c r="L580" s="14" t="str">
        <f>IF(H580="","Excluded - no order",IF(J580&lt;Assumptions!$B$3,"Pre-Q4",IF(J580&lt;=Assumptions!$B$4,"Q4 2025","Deferred Q1 2026")))</f>
        <v>Q4 2025</v>
      </c>
    </row>
    <row r="581" spans="1:12" ht="15" customHeight="1" x14ac:dyDescent="0.2">
      <c r="A581" s="14" t="s">
        <v>1398</v>
      </c>
      <c r="B581" s="14" t="s">
        <v>1399</v>
      </c>
      <c r="C581" s="18">
        <v>46020</v>
      </c>
      <c r="D581" s="18">
        <v>46027</v>
      </c>
      <c r="E581" s="14">
        <v>1758</v>
      </c>
      <c r="F581" s="14" t="s">
        <v>207</v>
      </c>
      <c r="G581" s="14" t="s">
        <v>208</v>
      </c>
      <c r="H581" s="15">
        <f>IFERROR(VLOOKUP(B581,Orders!$A:$I,6,0),"")</f>
        <v>437.75</v>
      </c>
      <c r="I581" s="14" t="str">
        <f>IFERROR(VLOOKUP(B581,Orders!$A:$I,8,0),"")</f>
        <v>FOB Destination</v>
      </c>
      <c r="J581" s="16">
        <f t="shared" si="19"/>
        <v>46027</v>
      </c>
      <c r="K581" s="15">
        <f t="shared" si="20"/>
        <v>769564.5</v>
      </c>
      <c r="L581" s="14" t="str">
        <f>IF(H581="","Excluded - no order",IF(J581&lt;Assumptions!$B$3,"Pre-Q4",IF(J581&lt;=Assumptions!$B$4,"Q4 2025","Deferred Q1 2026")))</f>
        <v>Deferred Q1 2026</v>
      </c>
    </row>
    <row r="582" spans="1:12" ht="15" customHeight="1" x14ac:dyDescent="0.2">
      <c r="A582" s="14" t="s">
        <v>1400</v>
      </c>
      <c r="B582" s="14" t="s">
        <v>1401</v>
      </c>
      <c r="C582" s="18">
        <v>46020</v>
      </c>
      <c r="D582" s="18">
        <v>46024</v>
      </c>
      <c r="E582" s="14">
        <v>335</v>
      </c>
      <c r="F582" s="14" t="s">
        <v>210</v>
      </c>
      <c r="G582" s="14" t="s">
        <v>211</v>
      </c>
      <c r="H582" s="15">
        <f>IFERROR(VLOOKUP(B582,Orders!$A:$I,6,0),"")</f>
        <v>418.45</v>
      </c>
      <c r="I582" s="14" t="str">
        <f>IFERROR(VLOOKUP(B582,Orders!$A:$I,8,0),"")</f>
        <v>FOB Destination</v>
      </c>
      <c r="J582" s="16">
        <f t="shared" si="19"/>
        <v>46024</v>
      </c>
      <c r="K582" s="15">
        <f t="shared" si="20"/>
        <v>140180.75</v>
      </c>
      <c r="L582" s="14" t="str">
        <f>IF(H582="","Excluded - no order",IF(J582&lt;Assumptions!$B$3,"Pre-Q4",IF(J582&lt;=Assumptions!$B$4,"Q4 2025","Deferred Q1 2026")))</f>
        <v>Deferred Q1 2026</v>
      </c>
    </row>
    <row r="583" spans="1:12" ht="15" customHeight="1" x14ac:dyDescent="0.2">
      <c r="A583" s="14" t="s">
        <v>1402</v>
      </c>
      <c r="B583" s="14" t="s">
        <v>1401</v>
      </c>
      <c r="C583" s="18">
        <v>46030</v>
      </c>
      <c r="D583" s="18">
        <v>46039</v>
      </c>
      <c r="E583" s="14">
        <v>133</v>
      </c>
      <c r="F583" s="14" t="s">
        <v>225</v>
      </c>
      <c r="G583" s="14" t="s">
        <v>226</v>
      </c>
      <c r="H583" s="15">
        <f>IFERROR(VLOOKUP(B583,Orders!$A:$I,6,0),"")</f>
        <v>418.45</v>
      </c>
      <c r="I583" s="14" t="str">
        <f>IFERROR(VLOOKUP(B583,Orders!$A:$I,8,0),"")</f>
        <v>FOB Destination</v>
      </c>
      <c r="J583" s="16">
        <f t="shared" ref="J583:J592" si="21">IF(I583="","",IF(I583="FOB Shipping Point",C583,D583))</f>
        <v>46039</v>
      </c>
      <c r="K583" s="15">
        <f t="shared" si="20"/>
        <v>55653.85</v>
      </c>
      <c r="L583" s="14" t="str">
        <f>IF(H583="","Excluded - no order",IF(J583&lt;Assumptions!$B$3,"Pre-Q4",IF(J583&lt;=Assumptions!$B$4,"Q4 2025","Deferred Q1 2026")))</f>
        <v>Deferred Q1 2026</v>
      </c>
    </row>
    <row r="584" spans="1:12" ht="15" customHeight="1" x14ac:dyDescent="0.2">
      <c r="A584" s="14" t="s">
        <v>1403</v>
      </c>
      <c r="B584" s="14" t="s">
        <v>1404</v>
      </c>
      <c r="C584" s="18">
        <v>46021</v>
      </c>
      <c r="D584" s="18">
        <v>46022</v>
      </c>
      <c r="E584" s="14">
        <v>153</v>
      </c>
      <c r="F584" s="14" t="s">
        <v>149</v>
      </c>
      <c r="G584" s="14" t="s">
        <v>150</v>
      </c>
      <c r="H584" s="15">
        <f>IFERROR(VLOOKUP(B584,Orders!$A:$I,6,0),"")</f>
        <v>145.04</v>
      </c>
      <c r="I584" s="14" t="str">
        <f>IFERROR(VLOOKUP(B584,Orders!$A:$I,8,0),"")</f>
        <v>FOB Shipping Point</v>
      </c>
      <c r="J584" s="16">
        <f t="shared" si="21"/>
        <v>46021</v>
      </c>
      <c r="K584" s="15">
        <f t="shared" si="20"/>
        <v>22191.119999999999</v>
      </c>
      <c r="L584" s="14" t="str">
        <f>IF(H584="","Excluded - no order",IF(J584&lt;Assumptions!$B$3,"Pre-Q4",IF(J584&lt;=Assumptions!$B$4,"Q4 2025","Deferred Q1 2026")))</f>
        <v>Q4 2025</v>
      </c>
    </row>
    <row r="585" spans="1:12" ht="15" customHeight="1" x14ac:dyDescent="0.2">
      <c r="A585" s="14" t="s">
        <v>1405</v>
      </c>
      <c r="B585" s="14" t="s">
        <v>1406</v>
      </c>
      <c r="C585" s="18">
        <v>45984</v>
      </c>
      <c r="D585" s="18">
        <v>45987</v>
      </c>
      <c r="E585" s="14">
        <v>1378</v>
      </c>
      <c r="F585" s="14" t="s">
        <v>1407</v>
      </c>
      <c r="G585" s="14" t="s">
        <v>1408</v>
      </c>
      <c r="H585" s="15">
        <f>IFERROR(VLOOKUP(B585,Orders!$A:$I,6,0),"")</f>
        <v>147.29</v>
      </c>
      <c r="I585" s="14" t="str">
        <f>IFERROR(VLOOKUP(B585,Orders!$A:$I,8,0),"")</f>
        <v>FOB Destination</v>
      </c>
      <c r="J585" s="16">
        <f t="shared" si="21"/>
        <v>45987</v>
      </c>
      <c r="K585" s="15">
        <f t="shared" si="20"/>
        <v>202965.62</v>
      </c>
      <c r="L585" s="14" t="str">
        <f>IF(H585="","Excluded - no order",IF(J585&lt;Assumptions!$B$3,"Pre-Q4",IF(J585&lt;=Assumptions!$B$4,"Q4 2025","Deferred Q1 2026")))</f>
        <v>Q4 2025</v>
      </c>
    </row>
    <row r="586" spans="1:12" ht="15" customHeight="1" x14ac:dyDescent="0.2">
      <c r="A586" s="14" t="s">
        <v>1409</v>
      </c>
      <c r="B586" s="14" t="s">
        <v>1410</v>
      </c>
      <c r="C586" s="18">
        <v>45981</v>
      </c>
      <c r="D586" s="18">
        <v>45982</v>
      </c>
      <c r="E586" s="14">
        <v>90</v>
      </c>
      <c r="F586" s="14" t="s">
        <v>302</v>
      </c>
      <c r="G586" s="14" t="s">
        <v>303</v>
      </c>
      <c r="H586" s="15">
        <f>IFERROR(VLOOKUP(B586,Orders!$A:$I,6,0),"")</f>
        <v>25.26</v>
      </c>
      <c r="I586" s="14" t="str">
        <f>IFERROR(VLOOKUP(B586,Orders!$A:$I,8,0),"")</f>
        <v>FOB Shipping Point</v>
      </c>
      <c r="J586" s="16">
        <f t="shared" si="21"/>
        <v>45981</v>
      </c>
      <c r="K586" s="15">
        <f t="shared" si="20"/>
        <v>2273.4</v>
      </c>
      <c r="L586" s="14" t="str">
        <f>IF(H586="","Excluded - no order",IF(J586&lt;Assumptions!$B$3,"Pre-Q4",IF(J586&lt;=Assumptions!$B$4,"Q4 2025","Deferred Q1 2026")))</f>
        <v>Q4 2025</v>
      </c>
    </row>
    <row r="587" spans="1:12" ht="15" customHeight="1" x14ac:dyDescent="0.2">
      <c r="A587" s="14" t="s">
        <v>1411</v>
      </c>
      <c r="B587" s="14" t="s">
        <v>1410</v>
      </c>
      <c r="C587" s="18">
        <v>45983</v>
      </c>
      <c r="D587" s="18">
        <v>45984</v>
      </c>
      <c r="E587" s="14">
        <v>135</v>
      </c>
      <c r="F587" s="14" t="s">
        <v>319</v>
      </c>
      <c r="G587" s="14" t="s">
        <v>320</v>
      </c>
      <c r="H587" s="15">
        <f>IFERROR(VLOOKUP(B587,Orders!$A:$I,6,0),"")</f>
        <v>25.26</v>
      </c>
      <c r="I587" s="14" t="str">
        <f>IFERROR(VLOOKUP(B587,Orders!$A:$I,8,0),"")</f>
        <v>FOB Shipping Point</v>
      </c>
      <c r="J587" s="16">
        <f t="shared" si="21"/>
        <v>45983</v>
      </c>
      <c r="K587" s="15">
        <f t="shared" si="20"/>
        <v>3410.1000000000004</v>
      </c>
      <c r="L587" s="14" t="str">
        <f>IF(H587="","Excluded - no order",IF(J587&lt;Assumptions!$B$3,"Pre-Q4",IF(J587&lt;=Assumptions!$B$4,"Q4 2025","Deferred Q1 2026")))</f>
        <v>Q4 2025</v>
      </c>
    </row>
    <row r="588" spans="1:12" ht="15" customHeight="1" x14ac:dyDescent="0.2">
      <c r="A588" s="14" t="s">
        <v>1412</v>
      </c>
      <c r="B588" s="14" t="s">
        <v>1413</v>
      </c>
      <c r="C588" s="18">
        <v>46003</v>
      </c>
      <c r="D588" s="18">
        <v>46008</v>
      </c>
      <c r="E588" s="14">
        <v>629</v>
      </c>
      <c r="F588" s="14" t="s">
        <v>112</v>
      </c>
      <c r="G588" s="14" t="s">
        <v>113</v>
      </c>
      <c r="H588" s="15">
        <f>IFERROR(VLOOKUP(B588,Orders!$A:$I,6,0),"")</f>
        <v>234.07</v>
      </c>
      <c r="I588" s="14" t="str">
        <f>IFERROR(VLOOKUP(B588,Orders!$A:$I,8,0),"")</f>
        <v>FOB Destination</v>
      </c>
      <c r="J588" s="16">
        <f t="shared" si="21"/>
        <v>46008</v>
      </c>
      <c r="K588" s="15">
        <f t="shared" si="20"/>
        <v>147230.03</v>
      </c>
      <c r="L588" s="14" t="str">
        <f>IF(H588="","Excluded - no order",IF(J588&lt;Assumptions!$B$3,"Pre-Q4",IF(J588&lt;=Assumptions!$B$4,"Q4 2025","Deferred Q1 2026")))</f>
        <v>Q4 2025</v>
      </c>
    </row>
    <row r="589" spans="1:12" ht="15" customHeight="1" x14ac:dyDescent="0.2">
      <c r="A589" s="14" t="s">
        <v>1414</v>
      </c>
      <c r="B589" s="14" t="s">
        <v>1415</v>
      </c>
      <c r="C589" s="18">
        <v>45969</v>
      </c>
      <c r="D589" s="18">
        <v>45972</v>
      </c>
      <c r="E589" s="14">
        <v>1118</v>
      </c>
      <c r="F589" s="14" t="s">
        <v>118</v>
      </c>
      <c r="G589" s="14" t="s">
        <v>119</v>
      </c>
      <c r="H589" s="15">
        <f>IFERROR(VLOOKUP(B589,Orders!$A:$I,6,0),"")</f>
        <v>244.08</v>
      </c>
      <c r="I589" s="14" t="str">
        <f>IFERROR(VLOOKUP(B589,Orders!$A:$I,8,0),"")</f>
        <v>FOB Shipping Point</v>
      </c>
      <c r="J589" s="16">
        <f t="shared" si="21"/>
        <v>45969</v>
      </c>
      <c r="K589" s="15">
        <f t="shared" si="20"/>
        <v>272881.44</v>
      </c>
      <c r="L589" s="14" t="str">
        <f>IF(H589="","Excluded - no order",IF(J589&lt;Assumptions!$B$3,"Pre-Q4",IF(J589&lt;=Assumptions!$B$4,"Q4 2025","Deferred Q1 2026")))</f>
        <v>Q4 2025</v>
      </c>
    </row>
    <row r="590" spans="1:12" ht="15" customHeight="1" x14ac:dyDescent="0.2">
      <c r="A590" s="14" t="s">
        <v>1416</v>
      </c>
      <c r="B590" s="14" t="s">
        <v>1417</v>
      </c>
      <c r="C590" s="18">
        <v>45997</v>
      </c>
      <c r="D590" s="18">
        <v>46003</v>
      </c>
      <c r="E590" s="14">
        <v>1766</v>
      </c>
      <c r="F590" s="14" t="s">
        <v>73</v>
      </c>
      <c r="G590" s="14" t="s">
        <v>74</v>
      </c>
      <c r="H590" s="15">
        <f>IFERROR(VLOOKUP(B590,Orders!$A:$I,6,0),"")</f>
        <v>244.78</v>
      </c>
      <c r="I590" s="14" t="str">
        <f>IFERROR(VLOOKUP(B590,Orders!$A:$I,8,0),"")</f>
        <v>FOB Destination</v>
      </c>
      <c r="J590" s="16">
        <f t="shared" si="21"/>
        <v>46003</v>
      </c>
      <c r="K590" s="15">
        <f t="shared" si="20"/>
        <v>432281.48</v>
      </c>
      <c r="L590" s="14" t="str">
        <f>IF(H590="","Excluded - no order",IF(J590&lt;Assumptions!$B$3,"Pre-Q4",IF(J590&lt;=Assumptions!$B$4,"Q4 2025","Deferred Q1 2026")))</f>
        <v>Q4 2025</v>
      </c>
    </row>
    <row r="591" spans="1:12" ht="15" customHeight="1" x14ac:dyDescent="0.2">
      <c r="A591" s="14" t="s">
        <v>1418</v>
      </c>
      <c r="B591" s="14" t="s">
        <v>1419</v>
      </c>
      <c r="C591" s="18">
        <v>46012</v>
      </c>
      <c r="D591" s="18">
        <v>46015</v>
      </c>
      <c r="E591" s="14">
        <v>1067</v>
      </c>
      <c r="F591" s="14" t="s">
        <v>239</v>
      </c>
      <c r="G591" s="14" t="s">
        <v>240</v>
      </c>
      <c r="H591" s="15">
        <f>IFERROR(VLOOKUP(B591,Orders!$A:$I,6,0),"")</f>
        <v>52.91</v>
      </c>
      <c r="I591" s="14" t="str">
        <f>IFERROR(VLOOKUP(B591,Orders!$A:$I,8,0),"")</f>
        <v>FOB Destination</v>
      </c>
      <c r="J591" s="16">
        <f t="shared" si="21"/>
        <v>46015</v>
      </c>
      <c r="K591" s="15">
        <f t="shared" si="20"/>
        <v>56454.969999999994</v>
      </c>
      <c r="L591" s="14" t="str">
        <f>IF(H591="","Excluded - no order",IF(J591&lt;Assumptions!$B$3,"Pre-Q4",IF(J591&lt;=Assumptions!$B$4,"Q4 2025","Deferred Q1 2026")))</f>
        <v>Q4 2025</v>
      </c>
    </row>
    <row r="592" spans="1:12" ht="15" customHeight="1" x14ac:dyDescent="0.2">
      <c r="A592" s="14" t="s">
        <v>1420</v>
      </c>
      <c r="B592" s="14" t="s">
        <v>1421</v>
      </c>
      <c r="C592" s="18">
        <v>45949</v>
      </c>
      <c r="D592" s="18">
        <v>45952</v>
      </c>
      <c r="E592" s="14">
        <v>304</v>
      </c>
      <c r="F592" s="14" t="s">
        <v>1422</v>
      </c>
      <c r="G592" s="14" t="s">
        <v>1423</v>
      </c>
      <c r="H592" s="15">
        <f>IFERROR(VLOOKUP(B592,Orders!$A:$I,6,0),"")</f>
        <v>138.25</v>
      </c>
      <c r="I592" s="14" t="str">
        <f>IFERROR(VLOOKUP(B592,Orders!$A:$I,8,0),"")</f>
        <v>FOB Shipping Point</v>
      </c>
      <c r="J592" s="16">
        <f t="shared" si="21"/>
        <v>45949</v>
      </c>
      <c r="K592" s="15">
        <f t="shared" si="20"/>
        <v>42028</v>
      </c>
      <c r="L592" s="14" t="str">
        <f>IF(H592="","Excluded - no order",IF(J592&lt;Assumptions!$B$3,"Pre-Q4",IF(J592&lt;=Assumptions!$B$4,"Q4 2025","Deferred Q1 2026")))</f>
        <v>Q4 2025</v>
      </c>
    </row>
    <row r="593" spans="1:12" ht="15" customHeight="1" x14ac:dyDescent="0.2">
      <c r="A593" s="19" t="s">
        <v>1424</v>
      </c>
      <c r="B593" s="19" t="s">
        <v>1425</v>
      </c>
      <c r="C593" s="20">
        <v>45945</v>
      </c>
      <c r="D593" s="19"/>
      <c r="E593" s="19">
        <v>739</v>
      </c>
      <c r="F593" s="19" t="s">
        <v>1426</v>
      </c>
      <c r="G593" s="19"/>
      <c r="H593" s="21">
        <v>197.68</v>
      </c>
      <c r="I593" s="19" t="s">
        <v>1427</v>
      </c>
      <c r="J593" s="20">
        <v>45975</v>
      </c>
      <c r="K593" s="21">
        <v>146085.51999999999</v>
      </c>
      <c r="L593" s="19" t="s">
        <v>1428</v>
      </c>
    </row>
    <row r="594" spans="1:12" ht="15" customHeight="1" x14ac:dyDescent="0.2">
      <c r="A594" s="19" t="s">
        <v>1429</v>
      </c>
      <c r="B594" s="19" t="s">
        <v>1430</v>
      </c>
      <c r="C594" s="20">
        <v>45936</v>
      </c>
      <c r="D594" s="19"/>
      <c r="E594" s="19"/>
      <c r="F594" s="19" t="s">
        <v>1431</v>
      </c>
      <c r="G594" s="19"/>
      <c r="H594" s="21"/>
      <c r="I594" s="19" t="s">
        <v>1432</v>
      </c>
      <c r="J594" s="20">
        <v>45936</v>
      </c>
      <c r="K594" s="21">
        <v>180882.3</v>
      </c>
      <c r="L594" s="19" t="s">
        <v>1428</v>
      </c>
    </row>
    <row r="595" spans="1:12" ht="15" customHeight="1" x14ac:dyDescent="0.2">
      <c r="A595" s="19" t="s">
        <v>1433</v>
      </c>
      <c r="B595" s="19" t="s">
        <v>1434</v>
      </c>
      <c r="C595" s="20">
        <v>45959</v>
      </c>
      <c r="D595" s="19"/>
      <c r="E595" s="19">
        <v>1227</v>
      </c>
      <c r="F595" s="19" t="s">
        <v>1435</v>
      </c>
      <c r="G595" s="19"/>
      <c r="H595" s="21">
        <v>66.89</v>
      </c>
      <c r="I595" s="19" t="s">
        <v>1427</v>
      </c>
      <c r="J595" s="20">
        <v>45989</v>
      </c>
      <c r="K595" s="21">
        <v>82074.03</v>
      </c>
      <c r="L595" s="19" t="s">
        <v>1428</v>
      </c>
    </row>
    <row r="596" spans="1:12" ht="15" customHeight="1" x14ac:dyDescent="0.2">
      <c r="A596" s="19" t="s">
        <v>1436</v>
      </c>
      <c r="B596" s="19" t="s">
        <v>1437</v>
      </c>
      <c r="C596" s="20">
        <v>45934</v>
      </c>
      <c r="D596" s="19"/>
      <c r="E596" s="19"/>
      <c r="F596" s="19" t="s">
        <v>1438</v>
      </c>
      <c r="G596" s="19"/>
      <c r="H596" s="21"/>
      <c r="I596" s="19" t="s">
        <v>1432</v>
      </c>
      <c r="J596" s="20">
        <v>45934</v>
      </c>
      <c r="K596" s="21">
        <v>133241.89000000001</v>
      </c>
      <c r="L596" s="19" t="s">
        <v>1428</v>
      </c>
    </row>
  </sheetData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00"/>
  <sheetViews>
    <sheetView zoomScaleNormal="100" workbookViewId="0">
      <pane ySplit="1" topLeftCell="A466" activePane="bottomLeft" state="frozen"/>
      <selection pane="bottomLeft" activeCell="D500" sqref="D500"/>
    </sheetView>
  </sheetViews>
  <sheetFormatPr baseColWidth="10" defaultColWidth="8.6640625" defaultRowHeight="15" x14ac:dyDescent="0.2"/>
  <cols>
    <col min="1" max="1" width="16" customWidth="1"/>
    <col min="2" max="2" width="12" customWidth="1"/>
    <col min="3" max="4" width="18" customWidth="1"/>
    <col min="5" max="5" width="11" customWidth="1"/>
    <col min="6" max="6" width="12" customWidth="1"/>
    <col min="7" max="7" width="15" customWidth="1"/>
    <col min="8" max="8" width="18" customWidth="1"/>
    <col min="9" max="9" width="12" customWidth="1"/>
  </cols>
  <sheetData>
    <row r="1" spans="1:9" s="28" customFormat="1" ht="26.25" customHeight="1" x14ac:dyDescent="0.2">
      <c r="A1" s="27" t="s">
        <v>60</v>
      </c>
      <c r="B1" s="27" t="s">
        <v>1439</v>
      </c>
      <c r="C1" s="27" t="s">
        <v>1440</v>
      </c>
      <c r="D1" s="27" t="s">
        <v>1441</v>
      </c>
      <c r="E1" s="27" t="s">
        <v>1442</v>
      </c>
      <c r="F1" s="27" t="s">
        <v>66</v>
      </c>
      <c r="G1" s="27" t="s">
        <v>1443</v>
      </c>
      <c r="H1" s="27" t="s">
        <v>67</v>
      </c>
      <c r="I1" s="27" t="s">
        <v>1444</v>
      </c>
    </row>
    <row r="2" spans="1:9" ht="15" customHeight="1" x14ac:dyDescent="0.2">
      <c r="A2" s="14" t="s">
        <v>72</v>
      </c>
      <c r="B2" s="16">
        <v>45976</v>
      </c>
      <c r="C2" s="14" t="s">
        <v>1445</v>
      </c>
      <c r="D2" s="14" t="s">
        <v>46</v>
      </c>
      <c r="E2" s="14">
        <v>306</v>
      </c>
      <c r="F2" s="15">
        <v>202.76</v>
      </c>
      <c r="G2" s="15">
        <v>62044.56</v>
      </c>
      <c r="H2" s="14" t="s">
        <v>1432</v>
      </c>
      <c r="I2" s="14" t="s">
        <v>1446</v>
      </c>
    </row>
    <row r="3" spans="1:9" ht="15" customHeight="1" x14ac:dyDescent="0.2">
      <c r="A3" s="14" t="s">
        <v>76</v>
      </c>
      <c r="B3" s="16">
        <v>45970</v>
      </c>
      <c r="C3" s="14" t="s">
        <v>1447</v>
      </c>
      <c r="D3" s="14" t="s">
        <v>42</v>
      </c>
      <c r="E3" s="14">
        <v>1642</v>
      </c>
      <c r="F3" s="15">
        <v>236.93</v>
      </c>
      <c r="G3" s="15">
        <v>389039.06</v>
      </c>
      <c r="H3" s="14" t="s">
        <v>1432</v>
      </c>
      <c r="I3" s="14" t="s">
        <v>1448</v>
      </c>
    </row>
    <row r="4" spans="1:9" ht="15" customHeight="1" x14ac:dyDescent="0.2">
      <c r="A4" s="14" t="s">
        <v>80</v>
      </c>
      <c r="B4" s="16">
        <v>45954</v>
      </c>
      <c r="C4" s="14" t="s">
        <v>1449</v>
      </c>
      <c r="D4" s="14" t="s">
        <v>42</v>
      </c>
      <c r="E4" s="14">
        <v>165</v>
      </c>
      <c r="F4" s="15">
        <v>361.36</v>
      </c>
      <c r="G4" s="15">
        <v>59624.4</v>
      </c>
      <c r="H4" s="14" t="s">
        <v>1432</v>
      </c>
      <c r="I4" s="14" t="s">
        <v>1450</v>
      </c>
    </row>
    <row r="5" spans="1:9" ht="15" customHeight="1" x14ac:dyDescent="0.2">
      <c r="A5" s="14" t="s">
        <v>82</v>
      </c>
      <c r="B5" s="16">
        <v>45992</v>
      </c>
      <c r="C5" s="14" t="s">
        <v>1447</v>
      </c>
      <c r="D5" s="14" t="s">
        <v>39</v>
      </c>
      <c r="E5" s="14">
        <v>1370</v>
      </c>
      <c r="F5" s="15">
        <v>437.7</v>
      </c>
      <c r="G5" s="15">
        <v>599649</v>
      </c>
      <c r="H5" s="14" t="s">
        <v>1432</v>
      </c>
      <c r="I5" s="14" t="s">
        <v>1451</v>
      </c>
    </row>
    <row r="6" spans="1:9" ht="15" customHeight="1" x14ac:dyDescent="0.2">
      <c r="A6" s="14" t="s">
        <v>89</v>
      </c>
      <c r="B6" s="16">
        <v>45966</v>
      </c>
      <c r="C6" s="14" t="s">
        <v>1452</v>
      </c>
      <c r="D6" s="14" t="s">
        <v>39</v>
      </c>
      <c r="E6" s="14">
        <v>1029</v>
      </c>
      <c r="F6" s="15">
        <v>361.91</v>
      </c>
      <c r="G6" s="15">
        <v>372405.39</v>
      </c>
      <c r="H6" s="14" t="s">
        <v>1427</v>
      </c>
      <c r="I6" s="14" t="s">
        <v>1453</v>
      </c>
    </row>
    <row r="7" spans="1:9" ht="15" customHeight="1" x14ac:dyDescent="0.2">
      <c r="A7" s="14" t="s">
        <v>93</v>
      </c>
      <c r="B7" s="16">
        <v>46009</v>
      </c>
      <c r="C7" s="14" t="s">
        <v>1454</v>
      </c>
      <c r="D7" s="14" t="s">
        <v>44</v>
      </c>
      <c r="E7" s="14">
        <v>723</v>
      </c>
      <c r="F7" s="15">
        <v>254.81</v>
      </c>
      <c r="G7" s="15">
        <v>184227.63</v>
      </c>
      <c r="H7" s="14" t="s">
        <v>1432</v>
      </c>
      <c r="I7" s="14" t="s">
        <v>1455</v>
      </c>
    </row>
    <row r="8" spans="1:9" ht="15" customHeight="1" x14ac:dyDescent="0.2">
      <c r="A8" s="14" t="s">
        <v>95</v>
      </c>
      <c r="B8" s="16">
        <v>46014</v>
      </c>
      <c r="C8" s="14" t="s">
        <v>1456</v>
      </c>
      <c r="D8" s="14" t="s">
        <v>47</v>
      </c>
      <c r="E8" s="14">
        <v>559</v>
      </c>
      <c r="F8" s="15">
        <v>91.22</v>
      </c>
      <c r="G8" s="15">
        <v>50991.98</v>
      </c>
      <c r="H8" s="14" t="s">
        <v>1432</v>
      </c>
      <c r="I8" s="14" t="s">
        <v>1457</v>
      </c>
    </row>
    <row r="9" spans="1:9" ht="15" customHeight="1" x14ac:dyDescent="0.2">
      <c r="A9" s="14" t="s">
        <v>97</v>
      </c>
      <c r="B9" s="16">
        <v>45962</v>
      </c>
      <c r="C9" s="14" t="s">
        <v>1458</v>
      </c>
      <c r="D9" s="14" t="s">
        <v>42</v>
      </c>
      <c r="E9" s="14">
        <v>1274</v>
      </c>
      <c r="F9" s="15">
        <v>14.27</v>
      </c>
      <c r="G9" s="15">
        <v>18179.98</v>
      </c>
      <c r="H9" s="14" t="s">
        <v>1427</v>
      </c>
      <c r="I9" s="14" t="s">
        <v>1459</v>
      </c>
    </row>
    <row r="10" spans="1:9" ht="15" customHeight="1" x14ac:dyDescent="0.2">
      <c r="A10" s="14" t="s">
        <v>99</v>
      </c>
      <c r="B10" s="16">
        <v>45986</v>
      </c>
      <c r="C10" s="14" t="s">
        <v>1458</v>
      </c>
      <c r="D10" s="14" t="s">
        <v>47</v>
      </c>
      <c r="E10" s="14">
        <v>1843</v>
      </c>
      <c r="F10" s="15">
        <v>431.26</v>
      </c>
      <c r="G10" s="15">
        <v>794812.18</v>
      </c>
      <c r="H10" s="14" t="s">
        <v>1427</v>
      </c>
      <c r="I10" s="14" t="s">
        <v>1460</v>
      </c>
    </row>
    <row r="11" spans="1:9" ht="15" customHeight="1" x14ac:dyDescent="0.2">
      <c r="A11" s="14" t="s">
        <v>103</v>
      </c>
      <c r="B11" s="16">
        <v>45976</v>
      </c>
      <c r="C11" s="14" t="s">
        <v>1447</v>
      </c>
      <c r="D11" s="14" t="s">
        <v>42</v>
      </c>
      <c r="E11" s="14">
        <v>279</v>
      </c>
      <c r="F11" s="15">
        <v>67.510000000000005</v>
      </c>
      <c r="G11" s="15">
        <v>18835.29</v>
      </c>
      <c r="H11" s="14" t="s">
        <v>1432</v>
      </c>
      <c r="I11" s="14" t="s">
        <v>1461</v>
      </c>
    </row>
    <row r="12" spans="1:9" ht="15" customHeight="1" x14ac:dyDescent="0.2">
      <c r="A12" s="14" t="s">
        <v>105</v>
      </c>
      <c r="B12" s="16">
        <v>45932</v>
      </c>
      <c r="C12" s="14" t="s">
        <v>1456</v>
      </c>
      <c r="D12" s="14" t="s">
        <v>45</v>
      </c>
      <c r="E12" s="14">
        <v>716</v>
      </c>
      <c r="F12" s="15">
        <v>14.2</v>
      </c>
      <c r="G12" s="15">
        <v>10167.200000000001</v>
      </c>
      <c r="H12" s="14" t="s">
        <v>1427</v>
      </c>
      <c r="I12" s="14" t="s">
        <v>1462</v>
      </c>
    </row>
    <row r="13" spans="1:9" ht="15" customHeight="1" x14ac:dyDescent="0.2">
      <c r="A13" s="14" t="s">
        <v>107</v>
      </c>
      <c r="B13" s="16">
        <v>46005</v>
      </c>
      <c r="C13" s="14" t="s">
        <v>1447</v>
      </c>
      <c r="D13" s="14" t="s">
        <v>36</v>
      </c>
      <c r="E13" s="14">
        <v>1876</v>
      </c>
      <c r="F13" s="15">
        <v>97.7</v>
      </c>
      <c r="G13" s="15">
        <v>183285.2</v>
      </c>
      <c r="H13" s="14" t="s">
        <v>1432</v>
      </c>
      <c r="I13" s="14" t="s">
        <v>1463</v>
      </c>
    </row>
    <row r="14" spans="1:9" ht="15" customHeight="1" x14ac:dyDescent="0.2">
      <c r="A14" s="14" t="s">
        <v>111</v>
      </c>
      <c r="B14" s="16">
        <v>45957</v>
      </c>
      <c r="C14" s="14" t="s">
        <v>1447</v>
      </c>
      <c r="D14" s="14" t="s">
        <v>47</v>
      </c>
      <c r="E14" s="14">
        <v>945</v>
      </c>
      <c r="F14" s="15">
        <v>414.15</v>
      </c>
      <c r="G14" s="15">
        <v>391371.75</v>
      </c>
      <c r="H14" s="14" t="s">
        <v>1432</v>
      </c>
      <c r="I14" s="14" t="s">
        <v>1464</v>
      </c>
    </row>
    <row r="15" spans="1:9" ht="15" customHeight="1" x14ac:dyDescent="0.2">
      <c r="A15" s="14" t="s">
        <v>115</v>
      </c>
      <c r="B15" s="16">
        <v>45940</v>
      </c>
      <c r="C15" s="14" t="s">
        <v>1456</v>
      </c>
      <c r="D15" s="14" t="s">
        <v>44</v>
      </c>
      <c r="E15" s="14">
        <v>1536</v>
      </c>
      <c r="F15" s="15">
        <v>384.85</v>
      </c>
      <c r="G15" s="15">
        <v>591129.59999999998</v>
      </c>
      <c r="H15" s="14" t="s">
        <v>1427</v>
      </c>
      <c r="I15" s="14" t="s">
        <v>1465</v>
      </c>
    </row>
    <row r="16" spans="1:9" ht="15" customHeight="1" x14ac:dyDescent="0.2">
      <c r="A16" s="14" t="s">
        <v>117</v>
      </c>
      <c r="B16" s="16">
        <v>45967</v>
      </c>
      <c r="C16" s="14" t="s">
        <v>1466</v>
      </c>
      <c r="D16" s="14" t="s">
        <v>47</v>
      </c>
      <c r="E16" s="14">
        <v>1020</v>
      </c>
      <c r="F16" s="15">
        <v>113.93</v>
      </c>
      <c r="G16" s="15">
        <v>116208.6</v>
      </c>
      <c r="H16" s="14" t="s">
        <v>1432</v>
      </c>
      <c r="I16" s="14" t="s">
        <v>1467</v>
      </c>
    </row>
    <row r="17" spans="1:9" ht="15" customHeight="1" x14ac:dyDescent="0.2">
      <c r="A17" s="14" t="s">
        <v>121</v>
      </c>
      <c r="B17" s="16">
        <v>45963</v>
      </c>
      <c r="C17" s="14" t="s">
        <v>1468</v>
      </c>
      <c r="D17" s="14" t="s">
        <v>47</v>
      </c>
      <c r="E17" s="14">
        <v>1422</v>
      </c>
      <c r="F17" s="15">
        <v>38.03</v>
      </c>
      <c r="G17" s="15">
        <v>54078.66</v>
      </c>
      <c r="H17" s="14" t="s">
        <v>1427</v>
      </c>
      <c r="I17" s="14" t="s">
        <v>1469</v>
      </c>
    </row>
    <row r="18" spans="1:9" ht="15" customHeight="1" x14ac:dyDescent="0.2">
      <c r="A18" s="14" t="s">
        <v>125</v>
      </c>
      <c r="B18" s="16">
        <v>45988</v>
      </c>
      <c r="C18" s="14" t="s">
        <v>1454</v>
      </c>
      <c r="D18" s="14" t="s">
        <v>46</v>
      </c>
      <c r="E18" s="14">
        <v>1143</v>
      </c>
      <c r="F18" s="15">
        <v>303.32</v>
      </c>
      <c r="G18" s="15">
        <v>346694.76</v>
      </c>
      <c r="H18" s="14" t="s">
        <v>1427</v>
      </c>
      <c r="I18" s="14" t="s">
        <v>1470</v>
      </c>
    </row>
    <row r="19" spans="1:9" ht="15" customHeight="1" x14ac:dyDescent="0.2">
      <c r="A19" s="14" t="s">
        <v>127</v>
      </c>
      <c r="B19" s="16">
        <v>45951</v>
      </c>
      <c r="C19" s="14" t="s">
        <v>1458</v>
      </c>
      <c r="D19" s="14" t="s">
        <v>46</v>
      </c>
      <c r="E19" s="14">
        <v>560</v>
      </c>
      <c r="F19" s="15">
        <v>9.83</v>
      </c>
      <c r="G19" s="15">
        <v>5504.8</v>
      </c>
      <c r="H19" s="14" t="s">
        <v>1427</v>
      </c>
      <c r="I19" s="14" t="s">
        <v>1471</v>
      </c>
    </row>
    <row r="20" spans="1:9" ht="15" customHeight="1" x14ac:dyDescent="0.2">
      <c r="A20" s="14" t="s">
        <v>129</v>
      </c>
      <c r="B20" s="16">
        <v>45968</v>
      </c>
      <c r="C20" s="14" t="s">
        <v>1466</v>
      </c>
      <c r="D20" s="14" t="s">
        <v>36</v>
      </c>
      <c r="E20" s="14">
        <v>1103</v>
      </c>
      <c r="F20" s="15">
        <v>122.21</v>
      </c>
      <c r="G20" s="15">
        <v>134797.63</v>
      </c>
      <c r="H20" s="14" t="s">
        <v>1432</v>
      </c>
      <c r="I20" s="14" t="s">
        <v>1472</v>
      </c>
    </row>
    <row r="21" spans="1:9" ht="15" customHeight="1" x14ac:dyDescent="0.2">
      <c r="A21" s="14" t="s">
        <v>133</v>
      </c>
      <c r="B21" s="16">
        <v>45932</v>
      </c>
      <c r="C21" s="14" t="s">
        <v>1449</v>
      </c>
      <c r="D21" s="14" t="s">
        <v>36</v>
      </c>
      <c r="E21" s="14">
        <v>1634</v>
      </c>
      <c r="F21" s="15">
        <v>243.2</v>
      </c>
      <c r="G21" s="15">
        <v>397388.79999999999</v>
      </c>
      <c r="H21" s="14" t="s">
        <v>1427</v>
      </c>
      <c r="I21" s="14" t="s">
        <v>1473</v>
      </c>
    </row>
    <row r="22" spans="1:9" ht="15" customHeight="1" x14ac:dyDescent="0.2">
      <c r="A22" s="14" t="s">
        <v>137</v>
      </c>
      <c r="B22" s="16">
        <v>46009</v>
      </c>
      <c r="C22" s="14" t="s">
        <v>1474</v>
      </c>
      <c r="D22" s="14" t="s">
        <v>45</v>
      </c>
      <c r="E22" s="14">
        <v>112</v>
      </c>
      <c r="F22" s="15">
        <v>371.91</v>
      </c>
      <c r="G22" s="15">
        <v>41653.919999999998</v>
      </c>
      <c r="H22" s="14" t="s">
        <v>1427</v>
      </c>
      <c r="I22" s="14" t="s">
        <v>1475</v>
      </c>
    </row>
    <row r="23" spans="1:9" ht="15" customHeight="1" x14ac:dyDescent="0.2">
      <c r="A23" s="14" t="s">
        <v>139</v>
      </c>
      <c r="B23" s="16">
        <v>45983</v>
      </c>
      <c r="C23" s="14" t="s">
        <v>1456</v>
      </c>
      <c r="D23" s="14" t="s">
        <v>45</v>
      </c>
      <c r="E23" s="14">
        <v>1023</v>
      </c>
      <c r="F23" s="15">
        <v>75.97</v>
      </c>
      <c r="G23" s="15">
        <v>77717.31</v>
      </c>
      <c r="H23" s="14" t="s">
        <v>1427</v>
      </c>
      <c r="I23" s="14" t="s">
        <v>1476</v>
      </c>
    </row>
    <row r="24" spans="1:9" ht="15" customHeight="1" x14ac:dyDescent="0.2">
      <c r="A24" s="14" t="s">
        <v>141</v>
      </c>
      <c r="B24" s="16">
        <v>45965</v>
      </c>
      <c r="C24" s="14" t="s">
        <v>1474</v>
      </c>
      <c r="D24" s="14" t="s">
        <v>46</v>
      </c>
      <c r="E24" s="14">
        <v>448</v>
      </c>
      <c r="F24" s="15">
        <v>38.450000000000003</v>
      </c>
      <c r="G24" s="15">
        <v>17225.599999999999</v>
      </c>
      <c r="H24" s="14" t="s">
        <v>1432</v>
      </c>
      <c r="I24" s="14" t="s">
        <v>1477</v>
      </c>
    </row>
    <row r="25" spans="1:9" ht="15" customHeight="1" x14ac:dyDescent="0.2">
      <c r="A25" s="14" t="s">
        <v>143</v>
      </c>
      <c r="B25" s="16">
        <v>45941</v>
      </c>
      <c r="C25" s="14" t="s">
        <v>1478</v>
      </c>
      <c r="D25" s="14" t="s">
        <v>39</v>
      </c>
      <c r="E25" s="14">
        <v>762</v>
      </c>
      <c r="F25" s="15">
        <v>474.9</v>
      </c>
      <c r="G25" s="15">
        <v>361873.8</v>
      </c>
      <c r="H25" s="14" t="s">
        <v>1432</v>
      </c>
      <c r="I25" s="14" t="s">
        <v>1479</v>
      </c>
    </row>
    <row r="26" spans="1:9" ht="15" customHeight="1" x14ac:dyDescent="0.2">
      <c r="A26" s="14" t="s">
        <v>147</v>
      </c>
      <c r="B26" s="16">
        <v>45976</v>
      </c>
      <c r="C26" s="14" t="s">
        <v>1480</v>
      </c>
      <c r="D26" s="14" t="s">
        <v>46</v>
      </c>
      <c r="E26" s="14">
        <v>1194</v>
      </c>
      <c r="F26" s="15">
        <v>205.09</v>
      </c>
      <c r="G26" s="15">
        <v>244877.46</v>
      </c>
      <c r="H26" s="14" t="s">
        <v>1427</v>
      </c>
      <c r="I26" s="14" t="s">
        <v>1481</v>
      </c>
    </row>
    <row r="27" spans="1:9" ht="15" customHeight="1" x14ac:dyDescent="0.2">
      <c r="A27" s="14" t="s">
        <v>152</v>
      </c>
      <c r="B27" s="16">
        <v>45981</v>
      </c>
      <c r="C27" s="14" t="s">
        <v>1449</v>
      </c>
      <c r="D27" s="14" t="s">
        <v>44</v>
      </c>
      <c r="E27" s="14">
        <v>1507</v>
      </c>
      <c r="F27" s="15">
        <v>363.4</v>
      </c>
      <c r="G27" s="15">
        <v>547643.80000000005</v>
      </c>
      <c r="H27" s="14" t="s">
        <v>1432</v>
      </c>
      <c r="I27" s="14" t="s">
        <v>1482</v>
      </c>
    </row>
    <row r="28" spans="1:9" ht="15" customHeight="1" x14ac:dyDescent="0.2">
      <c r="A28" s="14" t="s">
        <v>155</v>
      </c>
      <c r="B28" s="16">
        <v>45989</v>
      </c>
      <c r="C28" s="14" t="s">
        <v>1445</v>
      </c>
      <c r="D28" s="14" t="s">
        <v>46</v>
      </c>
      <c r="E28" s="14">
        <v>1832</v>
      </c>
      <c r="F28" s="15">
        <v>486.26</v>
      </c>
      <c r="G28" s="15">
        <v>890828.32</v>
      </c>
      <c r="H28" s="14" t="s">
        <v>1427</v>
      </c>
      <c r="I28" s="14" t="s">
        <v>1483</v>
      </c>
    </row>
    <row r="29" spans="1:9" ht="15" customHeight="1" x14ac:dyDescent="0.2">
      <c r="A29" s="14" t="s">
        <v>158</v>
      </c>
      <c r="B29" s="16">
        <v>45972</v>
      </c>
      <c r="C29" s="14" t="s">
        <v>1474</v>
      </c>
      <c r="D29" s="14" t="s">
        <v>44</v>
      </c>
      <c r="E29" s="14">
        <v>1525</v>
      </c>
      <c r="F29" s="15">
        <v>244.46</v>
      </c>
      <c r="G29" s="15">
        <v>372801.5</v>
      </c>
      <c r="H29" s="14" t="s">
        <v>1432</v>
      </c>
      <c r="I29" s="14" t="s">
        <v>1484</v>
      </c>
    </row>
    <row r="30" spans="1:9" ht="15" customHeight="1" x14ac:dyDescent="0.2">
      <c r="A30" s="14" t="s">
        <v>160</v>
      </c>
      <c r="B30" s="16">
        <v>45951</v>
      </c>
      <c r="C30" s="14" t="s">
        <v>1445</v>
      </c>
      <c r="D30" s="14" t="s">
        <v>36</v>
      </c>
      <c r="E30" s="14">
        <v>1353</v>
      </c>
      <c r="F30" s="15">
        <v>301.72000000000003</v>
      </c>
      <c r="G30" s="15">
        <v>408227.16</v>
      </c>
      <c r="H30" s="14" t="s">
        <v>1432</v>
      </c>
      <c r="I30" s="14" t="s">
        <v>1485</v>
      </c>
    </row>
    <row r="31" spans="1:9" ht="15" customHeight="1" x14ac:dyDescent="0.2">
      <c r="A31" s="14" t="s">
        <v>164</v>
      </c>
      <c r="B31" s="16">
        <v>45950</v>
      </c>
      <c r="C31" s="14" t="s">
        <v>1474</v>
      </c>
      <c r="D31" s="14" t="s">
        <v>47</v>
      </c>
      <c r="E31" s="14">
        <v>405</v>
      </c>
      <c r="F31" s="15">
        <v>487.78</v>
      </c>
      <c r="G31" s="15">
        <v>197550.9</v>
      </c>
      <c r="H31" s="14" t="s">
        <v>1432</v>
      </c>
      <c r="I31" s="14" t="s">
        <v>1486</v>
      </c>
    </row>
    <row r="32" spans="1:9" ht="15" customHeight="1" x14ac:dyDescent="0.2">
      <c r="A32" s="14" t="s">
        <v>166</v>
      </c>
      <c r="B32" s="16">
        <v>46017</v>
      </c>
      <c r="C32" s="14" t="s">
        <v>1474</v>
      </c>
      <c r="D32" s="14" t="s">
        <v>47</v>
      </c>
      <c r="E32" s="14">
        <v>615</v>
      </c>
      <c r="F32" s="15">
        <v>218.52</v>
      </c>
      <c r="G32" s="15">
        <v>134389.79999999999</v>
      </c>
      <c r="H32" s="14" t="s">
        <v>1432</v>
      </c>
      <c r="I32" s="14" t="s">
        <v>1487</v>
      </c>
    </row>
    <row r="33" spans="1:9" ht="15" customHeight="1" x14ac:dyDescent="0.2">
      <c r="A33" s="14" t="s">
        <v>168</v>
      </c>
      <c r="B33" s="16">
        <v>45963</v>
      </c>
      <c r="C33" s="14" t="s">
        <v>1458</v>
      </c>
      <c r="D33" s="14" t="s">
        <v>45</v>
      </c>
      <c r="E33" s="14">
        <v>1324</v>
      </c>
      <c r="F33" s="15">
        <v>341.98</v>
      </c>
      <c r="G33" s="15">
        <v>452781.52</v>
      </c>
      <c r="H33" s="14" t="s">
        <v>1427</v>
      </c>
      <c r="I33" s="14" t="s">
        <v>1488</v>
      </c>
    </row>
    <row r="34" spans="1:9" ht="15" customHeight="1" x14ac:dyDescent="0.2">
      <c r="A34" s="14" t="s">
        <v>170</v>
      </c>
      <c r="B34" s="16">
        <v>46019</v>
      </c>
      <c r="C34" s="14" t="s">
        <v>1458</v>
      </c>
      <c r="D34" s="14" t="s">
        <v>36</v>
      </c>
      <c r="E34" s="14">
        <v>1021</v>
      </c>
      <c r="F34" s="15">
        <v>253.84</v>
      </c>
      <c r="G34" s="15">
        <v>259170.64</v>
      </c>
      <c r="H34" s="14" t="s">
        <v>1432</v>
      </c>
      <c r="I34" s="14" t="s">
        <v>1489</v>
      </c>
    </row>
    <row r="35" spans="1:9" ht="15" customHeight="1" x14ac:dyDescent="0.2">
      <c r="A35" s="14" t="s">
        <v>174</v>
      </c>
      <c r="B35" s="16">
        <v>45995</v>
      </c>
      <c r="C35" s="14" t="s">
        <v>1454</v>
      </c>
      <c r="D35" s="14" t="s">
        <v>44</v>
      </c>
      <c r="E35" s="14">
        <v>93</v>
      </c>
      <c r="F35" s="15">
        <v>141.47</v>
      </c>
      <c r="G35" s="15">
        <v>13156.71</v>
      </c>
      <c r="H35" s="14" t="s">
        <v>1432</v>
      </c>
      <c r="I35" s="14" t="s">
        <v>1490</v>
      </c>
    </row>
    <row r="36" spans="1:9" ht="15" customHeight="1" x14ac:dyDescent="0.2">
      <c r="A36" s="14" t="s">
        <v>179</v>
      </c>
      <c r="B36" s="16">
        <v>45934</v>
      </c>
      <c r="C36" s="14" t="s">
        <v>1447</v>
      </c>
      <c r="D36" s="14" t="s">
        <v>45</v>
      </c>
      <c r="E36" s="14">
        <v>795</v>
      </c>
      <c r="F36" s="15">
        <v>138.4</v>
      </c>
      <c r="G36" s="15">
        <v>110028</v>
      </c>
      <c r="H36" s="14" t="s">
        <v>1427</v>
      </c>
      <c r="I36" s="14" t="s">
        <v>1491</v>
      </c>
    </row>
    <row r="37" spans="1:9" ht="15" customHeight="1" x14ac:dyDescent="0.2">
      <c r="A37" s="14" t="s">
        <v>181</v>
      </c>
      <c r="B37" s="16">
        <v>45979</v>
      </c>
      <c r="C37" s="14" t="s">
        <v>1458</v>
      </c>
      <c r="D37" s="14" t="s">
        <v>39</v>
      </c>
      <c r="E37" s="14">
        <v>1021</v>
      </c>
      <c r="F37" s="15">
        <v>338.74</v>
      </c>
      <c r="G37" s="15">
        <v>345853.54</v>
      </c>
      <c r="H37" s="14" t="s">
        <v>1432</v>
      </c>
      <c r="I37" s="14" t="s">
        <v>1492</v>
      </c>
    </row>
    <row r="38" spans="1:9" ht="15" customHeight="1" x14ac:dyDescent="0.2">
      <c r="A38" s="14" t="s">
        <v>185</v>
      </c>
      <c r="B38" s="16">
        <v>45972</v>
      </c>
      <c r="C38" s="14" t="s">
        <v>1454</v>
      </c>
      <c r="D38" s="14" t="s">
        <v>39</v>
      </c>
      <c r="E38" s="14">
        <v>834</v>
      </c>
      <c r="F38" s="15">
        <v>172.86</v>
      </c>
      <c r="G38" s="15">
        <v>144165.24</v>
      </c>
      <c r="H38" s="14" t="s">
        <v>1432</v>
      </c>
      <c r="I38" s="14" t="s">
        <v>1493</v>
      </c>
    </row>
    <row r="39" spans="1:9" ht="15" customHeight="1" x14ac:dyDescent="0.2">
      <c r="A39" s="14" t="s">
        <v>192</v>
      </c>
      <c r="B39" s="16">
        <v>45995</v>
      </c>
      <c r="C39" s="14" t="s">
        <v>1494</v>
      </c>
      <c r="D39" s="14" t="s">
        <v>39</v>
      </c>
      <c r="E39" s="14">
        <v>1803</v>
      </c>
      <c r="F39" s="15">
        <v>16.760000000000002</v>
      </c>
      <c r="G39" s="15">
        <v>30218.28</v>
      </c>
      <c r="H39" s="14" t="s">
        <v>1432</v>
      </c>
      <c r="I39" s="14" t="s">
        <v>1495</v>
      </c>
    </row>
    <row r="40" spans="1:9" ht="15" customHeight="1" x14ac:dyDescent="0.2">
      <c r="A40" s="14" t="s">
        <v>196</v>
      </c>
      <c r="B40" s="16">
        <v>46015</v>
      </c>
      <c r="C40" s="14" t="s">
        <v>1452</v>
      </c>
      <c r="D40" s="14" t="s">
        <v>42</v>
      </c>
      <c r="E40" s="14">
        <v>1334</v>
      </c>
      <c r="F40" s="15">
        <v>405.9</v>
      </c>
      <c r="G40" s="15">
        <v>541470.6</v>
      </c>
      <c r="H40" s="14" t="s">
        <v>1427</v>
      </c>
      <c r="I40" s="14" t="s">
        <v>1496</v>
      </c>
    </row>
    <row r="41" spans="1:9" ht="15" customHeight="1" x14ac:dyDescent="0.2">
      <c r="A41" s="14" t="s">
        <v>198</v>
      </c>
      <c r="B41" s="16">
        <v>45937</v>
      </c>
      <c r="C41" s="14" t="s">
        <v>1468</v>
      </c>
      <c r="D41" s="14" t="s">
        <v>36</v>
      </c>
      <c r="E41" s="14">
        <v>1909</v>
      </c>
      <c r="F41" s="15">
        <v>161.63999999999999</v>
      </c>
      <c r="G41" s="15">
        <v>308570.76</v>
      </c>
      <c r="H41" s="14" t="s">
        <v>1432</v>
      </c>
      <c r="I41" s="14" t="s">
        <v>1497</v>
      </c>
    </row>
    <row r="42" spans="1:9" ht="15" customHeight="1" x14ac:dyDescent="0.2">
      <c r="A42" s="14" t="s">
        <v>202</v>
      </c>
      <c r="B42" s="16">
        <v>45937</v>
      </c>
      <c r="C42" s="14" t="s">
        <v>1480</v>
      </c>
      <c r="D42" s="14" t="s">
        <v>44</v>
      </c>
      <c r="E42" s="14">
        <v>754</v>
      </c>
      <c r="F42" s="15">
        <v>245.34</v>
      </c>
      <c r="G42" s="15">
        <v>184986.36</v>
      </c>
      <c r="H42" s="14" t="s">
        <v>1427</v>
      </c>
      <c r="I42" s="14" t="s">
        <v>1498</v>
      </c>
    </row>
    <row r="43" spans="1:9" ht="15" customHeight="1" x14ac:dyDescent="0.2">
      <c r="A43" s="14" t="s">
        <v>206</v>
      </c>
      <c r="B43" s="16">
        <v>45935</v>
      </c>
      <c r="C43" s="14" t="s">
        <v>1478</v>
      </c>
      <c r="D43" s="14" t="s">
        <v>36</v>
      </c>
      <c r="E43" s="14">
        <v>430</v>
      </c>
      <c r="F43" s="15">
        <v>137.72</v>
      </c>
      <c r="G43" s="15">
        <v>59219.6</v>
      </c>
      <c r="H43" s="14" t="s">
        <v>1427</v>
      </c>
      <c r="I43" s="14" t="s">
        <v>1499</v>
      </c>
    </row>
    <row r="44" spans="1:9" ht="15" customHeight="1" x14ac:dyDescent="0.2">
      <c r="A44" s="14" t="s">
        <v>213</v>
      </c>
      <c r="B44" s="16">
        <v>46014</v>
      </c>
      <c r="C44" s="14" t="s">
        <v>1494</v>
      </c>
      <c r="D44" s="14" t="s">
        <v>47</v>
      </c>
      <c r="E44" s="14">
        <v>625</v>
      </c>
      <c r="F44" s="15">
        <v>366.81</v>
      </c>
      <c r="G44" s="15">
        <v>229256.25</v>
      </c>
      <c r="H44" s="14" t="s">
        <v>1427</v>
      </c>
      <c r="I44" s="14" t="s">
        <v>1500</v>
      </c>
    </row>
    <row r="45" spans="1:9" ht="15" customHeight="1" x14ac:dyDescent="0.2">
      <c r="A45" s="14" t="s">
        <v>216</v>
      </c>
      <c r="B45" s="16">
        <v>46019</v>
      </c>
      <c r="C45" s="14" t="s">
        <v>1445</v>
      </c>
      <c r="D45" s="14" t="s">
        <v>47</v>
      </c>
      <c r="E45" s="14">
        <v>1190</v>
      </c>
      <c r="F45" s="15">
        <v>68.28</v>
      </c>
      <c r="G45" s="15">
        <v>81253.2</v>
      </c>
      <c r="H45" s="14" t="s">
        <v>1427</v>
      </c>
      <c r="I45" s="14" t="s">
        <v>1501</v>
      </c>
    </row>
    <row r="46" spans="1:9" ht="15" customHeight="1" x14ac:dyDescent="0.2">
      <c r="A46" s="14" t="s">
        <v>218</v>
      </c>
      <c r="B46" s="16">
        <v>45932</v>
      </c>
      <c r="C46" s="14" t="s">
        <v>1445</v>
      </c>
      <c r="D46" s="14" t="s">
        <v>47</v>
      </c>
      <c r="E46" s="14">
        <v>565</v>
      </c>
      <c r="F46" s="15">
        <v>76.97</v>
      </c>
      <c r="G46" s="15">
        <v>43488.05</v>
      </c>
      <c r="H46" s="14" t="s">
        <v>1427</v>
      </c>
      <c r="I46" s="14" t="s">
        <v>1502</v>
      </c>
    </row>
    <row r="47" spans="1:9" ht="15" customHeight="1" x14ac:dyDescent="0.2">
      <c r="A47" s="14" t="s">
        <v>220</v>
      </c>
      <c r="B47" s="16">
        <v>45938</v>
      </c>
      <c r="C47" s="14" t="s">
        <v>1447</v>
      </c>
      <c r="D47" s="14" t="s">
        <v>45</v>
      </c>
      <c r="E47" s="14">
        <v>284</v>
      </c>
      <c r="F47" s="15">
        <v>285</v>
      </c>
      <c r="G47" s="15">
        <v>80940</v>
      </c>
      <c r="H47" s="14" t="s">
        <v>1432</v>
      </c>
      <c r="I47" s="14" t="s">
        <v>1503</v>
      </c>
    </row>
    <row r="48" spans="1:9" ht="15" customHeight="1" x14ac:dyDescent="0.2">
      <c r="A48" s="14" t="s">
        <v>222</v>
      </c>
      <c r="B48" s="16">
        <v>45945</v>
      </c>
      <c r="C48" s="14" t="s">
        <v>1468</v>
      </c>
      <c r="D48" s="14" t="s">
        <v>46</v>
      </c>
      <c r="E48" s="14">
        <v>356</v>
      </c>
      <c r="F48" s="15">
        <v>309.08999999999997</v>
      </c>
      <c r="G48" s="15">
        <v>110036.04</v>
      </c>
      <c r="H48" s="14" t="s">
        <v>1432</v>
      </c>
      <c r="I48" s="14" t="s">
        <v>1504</v>
      </c>
    </row>
    <row r="49" spans="1:9" ht="15" customHeight="1" x14ac:dyDescent="0.2">
      <c r="A49" s="14" t="s">
        <v>224</v>
      </c>
      <c r="B49" s="16">
        <v>45999</v>
      </c>
      <c r="C49" s="14" t="s">
        <v>1458</v>
      </c>
      <c r="D49" s="14" t="s">
        <v>36</v>
      </c>
      <c r="E49" s="14">
        <v>294</v>
      </c>
      <c r="F49" s="15">
        <v>469.53</v>
      </c>
      <c r="G49" s="15">
        <v>138041.82</v>
      </c>
      <c r="H49" s="14" t="s">
        <v>1427</v>
      </c>
      <c r="I49" s="14" t="s">
        <v>1505</v>
      </c>
    </row>
    <row r="50" spans="1:9" ht="15" customHeight="1" x14ac:dyDescent="0.2">
      <c r="A50" s="14" t="s">
        <v>228</v>
      </c>
      <c r="B50" s="16">
        <v>45943</v>
      </c>
      <c r="C50" s="14" t="s">
        <v>1447</v>
      </c>
      <c r="D50" s="14" t="s">
        <v>44</v>
      </c>
      <c r="E50" s="14">
        <v>632</v>
      </c>
      <c r="F50" s="15">
        <v>69.84</v>
      </c>
      <c r="G50" s="15">
        <v>44138.879999999997</v>
      </c>
      <c r="H50" s="14" t="s">
        <v>1427</v>
      </c>
      <c r="I50" s="14" t="s">
        <v>1506</v>
      </c>
    </row>
    <row r="51" spans="1:9" ht="15" customHeight="1" x14ac:dyDescent="0.2">
      <c r="A51" s="14" t="s">
        <v>232</v>
      </c>
      <c r="B51" s="16">
        <v>45953</v>
      </c>
      <c r="C51" s="14" t="s">
        <v>1478</v>
      </c>
      <c r="D51" s="14" t="s">
        <v>44</v>
      </c>
      <c r="E51" s="14">
        <v>1881</v>
      </c>
      <c r="F51" s="15">
        <v>404.6</v>
      </c>
      <c r="G51" s="15">
        <v>761052.6</v>
      </c>
      <c r="H51" s="14" t="s">
        <v>1432</v>
      </c>
      <c r="I51" s="14" t="s">
        <v>1507</v>
      </c>
    </row>
    <row r="52" spans="1:9" ht="15" customHeight="1" x14ac:dyDescent="0.2">
      <c r="A52" s="14" t="s">
        <v>236</v>
      </c>
      <c r="B52" s="16">
        <v>45939</v>
      </c>
      <c r="C52" s="14" t="s">
        <v>1508</v>
      </c>
      <c r="D52" s="14" t="s">
        <v>45</v>
      </c>
      <c r="E52" s="14">
        <v>539</v>
      </c>
      <c r="F52" s="15">
        <v>391.67</v>
      </c>
      <c r="G52" s="15">
        <v>211110.13</v>
      </c>
      <c r="H52" s="14" t="s">
        <v>1427</v>
      </c>
      <c r="I52" s="14" t="s">
        <v>1509</v>
      </c>
    </row>
    <row r="53" spans="1:9" ht="15" customHeight="1" x14ac:dyDescent="0.2">
      <c r="A53" s="14" t="s">
        <v>238</v>
      </c>
      <c r="B53" s="16">
        <v>46017</v>
      </c>
      <c r="C53" s="14" t="s">
        <v>1510</v>
      </c>
      <c r="D53" s="14" t="s">
        <v>36</v>
      </c>
      <c r="E53" s="14">
        <v>1394</v>
      </c>
      <c r="F53" s="15">
        <v>19.64</v>
      </c>
      <c r="G53" s="15">
        <v>27378.16</v>
      </c>
      <c r="H53" s="14" t="s">
        <v>1427</v>
      </c>
      <c r="I53" s="14" t="s">
        <v>1511</v>
      </c>
    </row>
    <row r="54" spans="1:9" ht="15" customHeight="1" x14ac:dyDescent="0.2">
      <c r="A54" s="14" t="s">
        <v>242</v>
      </c>
      <c r="B54" s="16">
        <v>45983</v>
      </c>
      <c r="C54" s="14" t="s">
        <v>1480</v>
      </c>
      <c r="D54" s="14" t="s">
        <v>46</v>
      </c>
      <c r="E54" s="14">
        <v>776</v>
      </c>
      <c r="F54" s="15">
        <v>163.95</v>
      </c>
      <c r="G54" s="15">
        <v>127225.2</v>
      </c>
      <c r="H54" s="14" t="s">
        <v>1432</v>
      </c>
      <c r="I54" s="14" t="s">
        <v>1512</v>
      </c>
    </row>
    <row r="55" spans="1:9" ht="15" customHeight="1" x14ac:dyDescent="0.2">
      <c r="A55" s="14" t="s">
        <v>244</v>
      </c>
      <c r="B55" s="16">
        <v>45955</v>
      </c>
      <c r="C55" s="14" t="s">
        <v>1480</v>
      </c>
      <c r="D55" s="14" t="s">
        <v>42</v>
      </c>
      <c r="E55" s="14">
        <v>1162</v>
      </c>
      <c r="F55" s="15">
        <v>210.92</v>
      </c>
      <c r="G55" s="15">
        <v>245089.04</v>
      </c>
      <c r="H55" s="14" t="s">
        <v>1427</v>
      </c>
      <c r="I55" s="14" t="s">
        <v>1513</v>
      </c>
    </row>
    <row r="56" spans="1:9" ht="15" customHeight="1" x14ac:dyDescent="0.2">
      <c r="A56" s="14" t="s">
        <v>247</v>
      </c>
      <c r="B56" s="16">
        <v>45962</v>
      </c>
      <c r="C56" s="14" t="s">
        <v>1478</v>
      </c>
      <c r="D56" s="14" t="s">
        <v>39</v>
      </c>
      <c r="E56" s="14">
        <v>53</v>
      </c>
      <c r="F56" s="15">
        <v>51.83</v>
      </c>
      <c r="G56" s="15">
        <v>2746.99</v>
      </c>
      <c r="H56" s="14" t="s">
        <v>1432</v>
      </c>
      <c r="I56" s="14" t="s">
        <v>1514</v>
      </c>
    </row>
    <row r="57" spans="1:9" ht="15" customHeight="1" x14ac:dyDescent="0.2">
      <c r="A57" s="14" t="s">
        <v>251</v>
      </c>
      <c r="B57" s="16">
        <v>45974</v>
      </c>
      <c r="C57" s="14" t="s">
        <v>1456</v>
      </c>
      <c r="D57" s="14" t="s">
        <v>36</v>
      </c>
      <c r="E57" s="14">
        <v>1145</v>
      </c>
      <c r="F57" s="15">
        <v>352.5</v>
      </c>
      <c r="G57" s="15">
        <v>403612.5</v>
      </c>
      <c r="H57" s="14" t="s">
        <v>1427</v>
      </c>
      <c r="I57" s="14" t="s">
        <v>1515</v>
      </c>
    </row>
    <row r="58" spans="1:9" ht="15" customHeight="1" x14ac:dyDescent="0.2">
      <c r="A58" s="14" t="s">
        <v>255</v>
      </c>
      <c r="B58" s="16">
        <v>46000</v>
      </c>
      <c r="C58" s="14" t="s">
        <v>1449</v>
      </c>
      <c r="D58" s="14" t="s">
        <v>39</v>
      </c>
      <c r="E58" s="14">
        <v>1774</v>
      </c>
      <c r="F58" s="15">
        <v>154.43</v>
      </c>
      <c r="G58" s="15">
        <v>273958.82</v>
      </c>
      <c r="H58" s="14" t="s">
        <v>1427</v>
      </c>
      <c r="I58" s="14" t="s">
        <v>1516</v>
      </c>
    </row>
    <row r="59" spans="1:9" ht="15" customHeight="1" x14ac:dyDescent="0.2">
      <c r="A59" s="14" t="s">
        <v>259</v>
      </c>
      <c r="B59" s="16">
        <v>46006</v>
      </c>
      <c r="C59" s="14" t="s">
        <v>1449</v>
      </c>
      <c r="D59" s="14" t="s">
        <v>47</v>
      </c>
      <c r="E59" s="14">
        <v>688</v>
      </c>
      <c r="F59" s="15">
        <v>236.02</v>
      </c>
      <c r="G59" s="15">
        <v>162381.76000000001</v>
      </c>
      <c r="H59" s="14" t="s">
        <v>1427</v>
      </c>
      <c r="I59" s="14" t="s">
        <v>1517</v>
      </c>
    </row>
    <row r="60" spans="1:9" ht="15" customHeight="1" x14ac:dyDescent="0.2">
      <c r="A60" s="14" t="s">
        <v>261</v>
      </c>
      <c r="B60" s="16">
        <v>46008</v>
      </c>
      <c r="C60" s="14" t="s">
        <v>1478</v>
      </c>
      <c r="D60" s="14" t="s">
        <v>44</v>
      </c>
      <c r="E60" s="14">
        <v>424</v>
      </c>
      <c r="F60" s="15">
        <v>328.67</v>
      </c>
      <c r="G60" s="15">
        <v>139356.07999999999</v>
      </c>
      <c r="H60" s="14" t="s">
        <v>1427</v>
      </c>
      <c r="I60" s="14" t="s">
        <v>1518</v>
      </c>
    </row>
    <row r="61" spans="1:9" ht="15" customHeight="1" x14ac:dyDescent="0.2">
      <c r="A61" s="14" t="s">
        <v>265</v>
      </c>
      <c r="B61" s="16">
        <v>46006</v>
      </c>
      <c r="C61" s="14" t="s">
        <v>1456</v>
      </c>
      <c r="D61" s="14" t="s">
        <v>47</v>
      </c>
      <c r="E61" s="14">
        <v>870</v>
      </c>
      <c r="F61" s="15">
        <v>40.39</v>
      </c>
      <c r="G61" s="15">
        <v>35139.300000000003</v>
      </c>
      <c r="H61" s="14" t="s">
        <v>1427</v>
      </c>
      <c r="I61" s="14" t="s">
        <v>1519</v>
      </c>
    </row>
    <row r="62" spans="1:9" ht="15" customHeight="1" x14ac:dyDescent="0.2">
      <c r="A62" s="14" t="s">
        <v>267</v>
      </c>
      <c r="B62" s="16">
        <v>45977</v>
      </c>
      <c r="C62" s="14" t="s">
        <v>1474</v>
      </c>
      <c r="D62" s="14" t="s">
        <v>45</v>
      </c>
      <c r="E62" s="14">
        <v>1771</v>
      </c>
      <c r="F62" s="15">
        <v>304.49</v>
      </c>
      <c r="G62" s="15">
        <v>539251.79</v>
      </c>
      <c r="H62" s="14" t="s">
        <v>1432</v>
      </c>
      <c r="I62" s="14" t="s">
        <v>1520</v>
      </c>
    </row>
    <row r="63" spans="1:9" ht="15" customHeight="1" x14ac:dyDescent="0.2">
      <c r="A63" s="14" t="s">
        <v>269</v>
      </c>
      <c r="B63" s="16">
        <v>46003</v>
      </c>
      <c r="C63" s="14" t="s">
        <v>1456</v>
      </c>
      <c r="D63" s="14" t="s">
        <v>36</v>
      </c>
      <c r="E63" s="14">
        <v>1780</v>
      </c>
      <c r="F63" s="15">
        <v>91.83</v>
      </c>
      <c r="G63" s="15">
        <v>163457.4</v>
      </c>
      <c r="H63" s="14" t="s">
        <v>1427</v>
      </c>
      <c r="I63" s="14" t="s">
        <v>1521</v>
      </c>
    </row>
    <row r="64" spans="1:9" ht="15" customHeight="1" x14ac:dyDescent="0.2">
      <c r="A64" s="14" t="s">
        <v>1522</v>
      </c>
      <c r="B64" s="16">
        <v>46010</v>
      </c>
      <c r="C64" s="14" t="s">
        <v>1458</v>
      </c>
      <c r="D64" s="14" t="s">
        <v>46</v>
      </c>
      <c r="E64" s="14">
        <v>1102</v>
      </c>
      <c r="F64" s="15">
        <v>204.57</v>
      </c>
      <c r="G64" s="15">
        <v>225436.14</v>
      </c>
      <c r="H64" s="14" t="s">
        <v>1427</v>
      </c>
      <c r="I64" s="14" t="s">
        <v>1523</v>
      </c>
    </row>
    <row r="65" spans="1:9" ht="15" customHeight="1" x14ac:dyDescent="0.2">
      <c r="A65" s="14" t="s">
        <v>273</v>
      </c>
      <c r="B65" s="16">
        <v>45940</v>
      </c>
      <c r="C65" s="14" t="s">
        <v>1458</v>
      </c>
      <c r="D65" s="14" t="s">
        <v>45</v>
      </c>
      <c r="E65" s="14">
        <v>1855</v>
      </c>
      <c r="F65" s="15">
        <v>234.05</v>
      </c>
      <c r="G65" s="15">
        <v>434162.75</v>
      </c>
      <c r="H65" s="14" t="s">
        <v>1427</v>
      </c>
      <c r="I65" s="14" t="s">
        <v>1524</v>
      </c>
    </row>
    <row r="66" spans="1:9" ht="15" customHeight="1" x14ac:dyDescent="0.2">
      <c r="A66" s="14" t="s">
        <v>276</v>
      </c>
      <c r="B66" s="16">
        <v>45950</v>
      </c>
      <c r="C66" s="14" t="s">
        <v>1445</v>
      </c>
      <c r="D66" s="14" t="s">
        <v>44</v>
      </c>
      <c r="E66" s="14">
        <v>814</v>
      </c>
      <c r="F66" s="15">
        <v>287.82</v>
      </c>
      <c r="G66" s="15">
        <v>234285.48</v>
      </c>
      <c r="H66" s="14" t="s">
        <v>1432</v>
      </c>
      <c r="I66" s="14" t="s">
        <v>1525</v>
      </c>
    </row>
    <row r="67" spans="1:9" ht="15" customHeight="1" x14ac:dyDescent="0.2">
      <c r="A67" s="14" t="s">
        <v>280</v>
      </c>
      <c r="B67" s="16">
        <v>46003</v>
      </c>
      <c r="C67" s="14" t="s">
        <v>1508</v>
      </c>
      <c r="D67" s="14" t="s">
        <v>42</v>
      </c>
      <c r="E67" s="14">
        <v>1025</v>
      </c>
      <c r="F67" s="15">
        <v>143.46</v>
      </c>
      <c r="G67" s="15">
        <v>147046.5</v>
      </c>
      <c r="H67" s="14" t="s">
        <v>1427</v>
      </c>
      <c r="I67" s="14" t="s">
        <v>1526</v>
      </c>
    </row>
    <row r="68" spans="1:9" ht="15" customHeight="1" x14ac:dyDescent="0.2">
      <c r="A68" s="14" t="s">
        <v>283</v>
      </c>
      <c r="B68" s="16">
        <v>45968</v>
      </c>
      <c r="C68" s="14" t="s">
        <v>1449</v>
      </c>
      <c r="D68" s="14" t="s">
        <v>44</v>
      </c>
      <c r="E68" s="14">
        <v>1614</v>
      </c>
      <c r="F68" s="15">
        <v>484.68</v>
      </c>
      <c r="G68" s="15">
        <v>782273.52</v>
      </c>
      <c r="H68" s="14" t="s">
        <v>1427</v>
      </c>
      <c r="I68" s="14" t="s">
        <v>1527</v>
      </c>
    </row>
    <row r="69" spans="1:9" ht="15" customHeight="1" x14ac:dyDescent="0.2">
      <c r="A69" s="14" t="s">
        <v>287</v>
      </c>
      <c r="B69" s="16">
        <v>45962</v>
      </c>
      <c r="C69" s="14" t="s">
        <v>1474</v>
      </c>
      <c r="D69" s="14" t="s">
        <v>39</v>
      </c>
      <c r="E69" s="14">
        <v>873</v>
      </c>
      <c r="F69" s="15">
        <v>141.43</v>
      </c>
      <c r="G69" s="15">
        <v>123468.39</v>
      </c>
      <c r="H69" s="14" t="s">
        <v>1427</v>
      </c>
      <c r="I69" s="14" t="s">
        <v>1528</v>
      </c>
    </row>
    <row r="70" spans="1:9" ht="15" customHeight="1" x14ac:dyDescent="0.2">
      <c r="A70" s="14" t="s">
        <v>291</v>
      </c>
      <c r="B70" s="16">
        <v>45972</v>
      </c>
      <c r="C70" s="14" t="s">
        <v>1510</v>
      </c>
      <c r="D70" s="14" t="s">
        <v>44</v>
      </c>
      <c r="E70" s="14">
        <v>125</v>
      </c>
      <c r="F70" s="15">
        <v>201.7</v>
      </c>
      <c r="G70" s="15">
        <v>25212.5</v>
      </c>
      <c r="H70" s="14" t="s">
        <v>1432</v>
      </c>
      <c r="I70" s="14" t="s">
        <v>1529</v>
      </c>
    </row>
    <row r="71" spans="1:9" ht="15" customHeight="1" x14ac:dyDescent="0.2">
      <c r="A71" s="14" t="s">
        <v>295</v>
      </c>
      <c r="B71" s="16">
        <v>45996</v>
      </c>
      <c r="C71" s="14" t="s">
        <v>1510</v>
      </c>
      <c r="D71" s="14" t="s">
        <v>46</v>
      </c>
      <c r="E71" s="14">
        <v>1544</v>
      </c>
      <c r="F71" s="15">
        <v>205.53</v>
      </c>
      <c r="G71" s="15">
        <v>317338.32</v>
      </c>
      <c r="H71" s="14" t="s">
        <v>1427</v>
      </c>
      <c r="I71" s="14" t="s">
        <v>1530</v>
      </c>
    </row>
    <row r="72" spans="1:9" ht="15" customHeight="1" x14ac:dyDescent="0.2">
      <c r="A72" s="14" t="s">
        <v>298</v>
      </c>
      <c r="B72" s="16">
        <v>45969</v>
      </c>
      <c r="C72" s="14" t="s">
        <v>1449</v>
      </c>
      <c r="D72" s="14" t="s">
        <v>46</v>
      </c>
      <c r="E72" s="14">
        <v>578</v>
      </c>
      <c r="F72" s="15">
        <v>221.29</v>
      </c>
      <c r="G72" s="15">
        <v>127905.62</v>
      </c>
      <c r="H72" s="14" t="s">
        <v>1427</v>
      </c>
      <c r="I72" s="14" t="s">
        <v>1531</v>
      </c>
    </row>
    <row r="73" spans="1:9" ht="15" customHeight="1" x14ac:dyDescent="0.2">
      <c r="A73" s="14" t="s">
        <v>301</v>
      </c>
      <c r="B73" s="16">
        <v>45976</v>
      </c>
      <c r="C73" s="14" t="s">
        <v>1508</v>
      </c>
      <c r="D73" s="14" t="s">
        <v>44</v>
      </c>
      <c r="E73" s="14">
        <v>410</v>
      </c>
      <c r="F73" s="15">
        <v>19.61</v>
      </c>
      <c r="G73" s="15">
        <v>8040.1</v>
      </c>
      <c r="H73" s="14" t="s">
        <v>1432</v>
      </c>
      <c r="I73" s="14" t="s">
        <v>1532</v>
      </c>
    </row>
    <row r="74" spans="1:9" ht="15" customHeight="1" x14ac:dyDescent="0.2">
      <c r="A74" s="14" t="s">
        <v>305</v>
      </c>
      <c r="B74" s="16">
        <v>45944</v>
      </c>
      <c r="C74" s="14" t="s">
        <v>1456</v>
      </c>
      <c r="D74" s="14" t="s">
        <v>36</v>
      </c>
      <c r="E74" s="14">
        <v>752</v>
      </c>
      <c r="F74" s="15">
        <v>261.33999999999997</v>
      </c>
      <c r="G74" s="15">
        <v>196527.68</v>
      </c>
      <c r="H74" s="14" t="s">
        <v>1432</v>
      </c>
      <c r="I74" s="14" t="s">
        <v>1533</v>
      </c>
    </row>
    <row r="75" spans="1:9" ht="15" customHeight="1" x14ac:dyDescent="0.2">
      <c r="A75" s="14" t="s">
        <v>1534</v>
      </c>
      <c r="B75" s="16">
        <v>46009</v>
      </c>
      <c r="C75" s="14" t="s">
        <v>1454</v>
      </c>
      <c r="D75" s="14" t="s">
        <v>47</v>
      </c>
      <c r="E75" s="14">
        <v>1360</v>
      </c>
      <c r="F75" s="15">
        <v>295.67</v>
      </c>
      <c r="G75" s="15">
        <v>402111.2</v>
      </c>
      <c r="H75" s="14" t="s">
        <v>1427</v>
      </c>
      <c r="I75" s="14" t="s">
        <v>1535</v>
      </c>
    </row>
    <row r="76" spans="1:9" ht="15" customHeight="1" x14ac:dyDescent="0.2">
      <c r="A76" s="14" t="s">
        <v>312</v>
      </c>
      <c r="B76" s="16">
        <v>45946</v>
      </c>
      <c r="C76" s="14" t="s">
        <v>1510</v>
      </c>
      <c r="D76" s="14" t="s">
        <v>47</v>
      </c>
      <c r="E76" s="14">
        <v>1767</v>
      </c>
      <c r="F76" s="15">
        <v>426.11</v>
      </c>
      <c r="G76" s="15">
        <v>752936.37</v>
      </c>
      <c r="H76" s="14" t="s">
        <v>1432</v>
      </c>
      <c r="I76" s="14" t="s">
        <v>1536</v>
      </c>
    </row>
    <row r="77" spans="1:9" ht="15" customHeight="1" x14ac:dyDescent="0.2">
      <c r="A77" s="14" t="s">
        <v>314</v>
      </c>
      <c r="B77" s="16">
        <v>45969</v>
      </c>
      <c r="C77" s="14" t="s">
        <v>1458</v>
      </c>
      <c r="D77" s="14" t="s">
        <v>42</v>
      </c>
      <c r="E77" s="14">
        <v>1265</v>
      </c>
      <c r="F77" s="15">
        <v>236.48</v>
      </c>
      <c r="G77" s="15">
        <v>299147.2</v>
      </c>
      <c r="H77" s="14" t="s">
        <v>1427</v>
      </c>
      <c r="I77" s="14" t="s">
        <v>1537</v>
      </c>
    </row>
    <row r="78" spans="1:9" ht="15" customHeight="1" x14ac:dyDescent="0.2">
      <c r="A78" s="14" t="s">
        <v>316</v>
      </c>
      <c r="B78" s="16">
        <v>45965</v>
      </c>
      <c r="C78" s="14" t="s">
        <v>1480</v>
      </c>
      <c r="D78" s="14" t="s">
        <v>45</v>
      </c>
      <c r="E78" s="14">
        <v>405</v>
      </c>
      <c r="F78" s="15">
        <v>115.61</v>
      </c>
      <c r="G78" s="15">
        <v>46822.05</v>
      </c>
      <c r="H78" s="14" t="s">
        <v>1427</v>
      </c>
      <c r="I78" s="14" t="s">
        <v>1538</v>
      </c>
    </row>
    <row r="79" spans="1:9" ht="15" customHeight="1" x14ac:dyDescent="0.2">
      <c r="A79" s="14" t="s">
        <v>318</v>
      </c>
      <c r="B79" s="16">
        <v>45958</v>
      </c>
      <c r="C79" s="14" t="s">
        <v>1494</v>
      </c>
      <c r="D79" s="14" t="s">
        <v>44</v>
      </c>
      <c r="E79" s="14">
        <v>40</v>
      </c>
      <c r="F79" s="15">
        <v>455.17</v>
      </c>
      <c r="G79" s="15">
        <v>18206.8</v>
      </c>
      <c r="H79" s="14" t="s">
        <v>1432</v>
      </c>
      <c r="I79" s="14" t="s">
        <v>1539</v>
      </c>
    </row>
    <row r="80" spans="1:9" ht="15" customHeight="1" x14ac:dyDescent="0.2">
      <c r="A80" s="14" t="s">
        <v>322</v>
      </c>
      <c r="B80" s="16">
        <v>45972</v>
      </c>
      <c r="C80" s="14" t="s">
        <v>1494</v>
      </c>
      <c r="D80" s="14" t="s">
        <v>39</v>
      </c>
      <c r="E80" s="14">
        <v>945</v>
      </c>
      <c r="F80" s="15">
        <v>286.23</v>
      </c>
      <c r="G80" s="15">
        <v>270487.34999999998</v>
      </c>
      <c r="H80" s="14" t="s">
        <v>1432</v>
      </c>
      <c r="I80" s="14" t="s">
        <v>1540</v>
      </c>
    </row>
    <row r="81" spans="1:9" ht="15" customHeight="1" x14ac:dyDescent="0.2">
      <c r="A81" s="14" t="s">
        <v>329</v>
      </c>
      <c r="B81" s="16">
        <v>45957</v>
      </c>
      <c r="C81" s="14" t="s">
        <v>1449</v>
      </c>
      <c r="D81" s="14" t="s">
        <v>47</v>
      </c>
      <c r="E81" s="14">
        <v>765</v>
      </c>
      <c r="F81" s="15">
        <v>413.76</v>
      </c>
      <c r="G81" s="15">
        <v>316526.40000000002</v>
      </c>
      <c r="H81" s="14" t="s">
        <v>1432</v>
      </c>
      <c r="I81" s="14" t="s">
        <v>1541</v>
      </c>
    </row>
    <row r="82" spans="1:9" ht="15" customHeight="1" x14ac:dyDescent="0.2">
      <c r="A82" s="14" t="s">
        <v>332</v>
      </c>
      <c r="B82" s="16">
        <v>45944</v>
      </c>
      <c r="C82" s="14" t="s">
        <v>1458</v>
      </c>
      <c r="D82" s="14" t="s">
        <v>47</v>
      </c>
      <c r="E82" s="14">
        <v>404</v>
      </c>
      <c r="F82" s="15">
        <v>184.55</v>
      </c>
      <c r="G82" s="15">
        <v>74558.2</v>
      </c>
      <c r="H82" s="14" t="s">
        <v>1427</v>
      </c>
      <c r="I82" s="14" t="s">
        <v>1542</v>
      </c>
    </row>
    <row r="83" spans="1:9" ht="15" customHeight="1" x14ac:dyDescent="0.2">
      <c r="A83" s="14" t="s">
        <v>334</v>
      </c>
      <c r="B83" s="16">
        <v>46013</v>
      </c>
      <c r="C83" s="14" t="s">
        <v>1454</v>
      </c>
      <c r="D83" s="14" t="s">
        <v>46</v>
      </c>
      <c r="E83" s="14">
        <v>946</v>
      </c>
      <c r="F83" s="15">
        <v>240.95</v>
      </c>
      <c r="G83" s="15">
        <v>227938.7</v>
      </c>
      <c r="H83" s="14" t="s">
        <v>1427</v>
      </c>
      <c r="I83" s="14" t="s">
        <v>1543</v>
      </c>
    </row>
    <row r="84" spans="1:9" ht="15" customHeight="1" x14ac:dyDescent="0.2">
      <c r="A84" s="14" t="s">
        <v>336</v>
      </c>
      <c r="B84" s="16">
        <v>46009</v>
      </c>
      <c r="C84" s="14" t="s">
        <v>1468</v>
      </c>
      <c r="D84" s="14" t="s">
        <v>45</v>
      </c>
      <c r="E84" s="14">
        <v>461</v>
      </c>
      <c r="F84" s="15">
        <v>17.93</v>
      </c>
      <c r="G84" s="15">
        <v>8265.73</v>
      </c>
      <c r="H84" s="14" t="s">
        <v>1427</v>
      </c>
      <c r="I84" s="14" t="s">
        <v>1544</v>
      </c>
    </row>
    <row r="85" spans="1:9" ht="15" customHeight="1" x14ac:dyDescent="0.2">
      <c r="A85" s="14" t="s">
        <v>338</v>
      </c>
      <c r="B85" s="16">
        <v>45967</v>
      </c>
      <c r="C85" s="14" t="s">
        <v>1454</v>
      </c>
      <c r="D85" s="14" t="s">
        <v>45</v>
      </c>
      <c r="E85" s="14">
        <v>1716</v>
      </c>
      <c r="F85" s="15">
        <v>72.56</v>
      </c>
      <c r="G85" s="15">
        <v>124512.96000000001</v>
      </c>
      <c r="H85" s="14" t="s">
        <v>1427</v>
      </c>
      <c r="I85" s="14" t="s">
        <v>1545</v>
      </c>
    </row>
    <row r="86" spans="1:9" ht="15" customHeight="1" x14ac:dyDescent="0.2">
      <c r="A86" s="14" t="s">
        <v>341</v>
      </c>
      <c r="B86" s="16">
        <v>45971</v>
      </c>
      <c r="C86" s="14" t="s">
        <v>1458</v>
      </c>
      <c r="D86" s="14" t="s">
        <v>42</v>
      </c>
      <c r="E86" s="14">
        <v>1725</v>
      </c>
      <c r="F86" s="15">
        <v>130.03</v>
      </c>
      <c r="G86" s="15">
        <v>224301.75</v>
      </c>
      <c r="H86" s="14" t="s">
        <v>1432</v>
      </c>
      <c r="I86" s="14" t="s">
        <v>1546</v>
      </c>
    </row>
    <row r="87" spans="1:9" ht="15" customHeight="1" x14ac:dyDescent="0.2">
      <c r="A87" s="14" t="s">
        <v>343</v>
      </c>
      <c r="B87" s="16">
        <v>46010</v>
      </c>
      <c r="C87" s="14" t="s">
        <v>1447</v>
      </c>
      <c r="D87" s="14" t="s">
        <v>45</v>
      </c>
      <c r="E87" s="14">
        <v>1055</v>
      </c>
      <c r="F87" s="15">
        <v>203.78</v>
      </c>
      <c r="G87" s="15">
        <v>214987.9</v>
      </c>
      <c r="H87" s="14" t="s">
        <v>1432</v>
      </c>
      <c r="I87" s="14" t="s">
        <v>1547</v>
      </c>
    </row>
    <row r="88" spans="1:9" ht="15" customHeight="1" x14ac:dyDescent="0.2">
      <c r="A88" s="14" t="s">
        <v>346</v>
      </c>
      <c r="B88" s="16">
        <v>45967</v>
      </c>
      <c r="C88" s="14" t="s">
        <v>1452</v>
      </c>
      <c r="D88" s="14" t="s">
        <v>42</v>
      </c>
      <c r="E88" s="14">
        <v>215</v>
      </c>
      <c r="F88" s="15">
        <v>157.74</v>
      </c>
      <c r="G88" s="15">
        <v>33914.1</v>
      </c>
      <c r="H88" s="14" t="s">
        <v>1432</v>
      </c>
      <c r="I88" s="14" t="s">
        <v>1548</v>
      </c>
    </row>
    <row r="89" spans="1:9" ht="15" customHeight="1" x14ac:dyDescent="0.2">
      <c r="A89" s="14" t="s">
        <v>348</v>
      </c>
      <c r="B89" s="16">
        <v>45952</v>
      </c>
      <c r="C89" s="14" t="s">
        <v>1449</v>
      </c>
      <c r="D89" s="14" t="s">
        <v>45</v>
      </c>
      <c r="E89" s="14">
        <v>943</v>
      </c>
      <c r="F89" s="15">
        <v>171.18</v>
      </c>
      <c r="G89" s="15">
        <v>161422.74</v>
      </c>
      <c r="H89" s="14" t="s">
        <v>1427</v>
      </c>
      <c r="I89" s="14" t="s">
        <v>1549</v>
      </c>
    </row>
    <row r="90" spans="1:9" ht="15" customHeight="1" x14ac:dyDescent="0.2">
      <c r="A90" s="14" t="s">
        <v>350</v>
      </c>
      <c r="B90" s="16">
        <v>46018</v>
      </c>
      <c r="C90" s="14" t="s">
        <v>1445</v>
      </c>
      <c r="D90" s="14" t="s">
        <v>46</v>
      </c>
      <c r="E90" s="14">
        <v>366</v>
      </c>
      <c r="F90" s="15">
        <v>464.3</v>
      </c>
      <c r="G90" s="15">
        <v>169933.8</v>
      </c>
      <c r="H90" s="14" t="s">
        <v>1427</v>
      </c>
      <c r="I90" s="14" t="s">
        <v>1550</v>
      </c>
    </row>
    <row r="91" spans="1:9" ht="15" customHeight="1" x14ac:dyDescent="0.2">
      <c r="A91" s="14" t="s">
        <v>353</v>
      </c>
      <c r="B91" s="16">
        <v>45996</v>
      </c>
      <c r="C91" s="14" t="s">
        <v>1474</v>
      </c>
      <c r="D91" s="14" t="s">
        <v>36</v>
      </c>
      <c r="E91" s="14">
        <v>1023</v>
      </c>
      <c r="F91" s="15">
        <v>67.42</v>
      </c>
      <c r="G91" s="15">
        <v>68970.66</v>
      </c>
      <c r="H91" s="14" t="s">
        <v>1432</v>
      </c>
      <c r="I91" s="14" t="s">
        <v>1551</v>
      </c>
    </row>
    <row r="92" spans="1:9" ht="15" customHeight="1" x14ac:dyDescent="0.2">
      <c r="A92" s="14" t="s">
        <v>357</v>
      </c>
      <c r="B92" s="16">
        <v>45963</v>
      </c>
      <c r="C92" s="14" t="s">
        <v>1480</v>
      </c>
      <c r="D92" s="14" t="s">
        <v>39</v>
      </c>
      <c r="E92" s="14">
        <v>1603</v>
      </c>
      <c r="F92" s="15">
        <v>394.56</v>
      </c>
      <c r="G92" s="15">
        <v>632479.68000000005</v>
      </c>
      <c r="H92" s="14" t="s">
        <v>1427</v>
      </c>
      <c r="I92" s="14" t="s">
        <v>1552</v>
      </c>
    </row>
    <row r="93" spans="1:9" ht="15" customHeight="1" x14ac:dyDescent="0.2">
      <c r="A93" s="14" t="s">
        <v>361</v>
      </c>
      <c r="B93" s="16">
        <v>45954</v>
      </c>
      <c r="C93" s="14" t="s">
        <v>1447</v>
      </c>
      <c r="D93" s="14" t="s">
        <v>42</v>
      </c>
      <c r="E93" s="14">
        <v>651</v>
      </c>
      <c r="F93" s="15">
        <v>391.11</v>
      </c>
      <c r="G93" s="15">
        <v>254612.61</v>
      </c>
      <c r="H93" s="14" t="s">
        <v>1432</v>
      </c>
      <c r="I93" s="14" t="s">
        <v>1553</v>
      </c>
    </row>
    <row r="94" spans="1:9" ht="15" customHeight="1" x14ac:dyDescent="0.2">
      <c r="A94" s="14" t="s">
        <v>363</v>
      </c>
      <c r="B94" s="16">
        <v>45933</v>
      </c>
      <c r="C94" s="14" t="s">
        <v>1449</v>
      </c>
      <c r="D94" s="14" t="s">
        <v>36</v>
      </c>
      <c r="E94" s="14">
        <v>1579</v>
      </c>
      <c r="F94" s="15">
        <v>416.98</v>
      </c>
      <c r="G94" s="15">
        <v>658411.42000000004</v>
      </c>
      <c r="H94" s="14" t="s">
        <v>1432</v>
      </c>
      <c r="I94" s="14" t="s">
        <v>1554</v>
      </c>
    </row>
    <row r="95" spans="1:9" ht="15" customHeight="1" x14ac:dyDescent="0.2">
      <c r="A95" s="14" t="s">
        <v>367</v>
      </c>
      <c r="B95" s="16">
        <v>45966</v>
      </c>
      <c r="C95" s="14" t="s">
        <v>1510</v>
      </c>
      <c r="D95" s="14" t="s">
        <v>44</v>
      </c>
      <c r="E95" s="14">
        <v>1482</v>
      </c>
      <c r="F95" s="15">
        <v>422.84</v>
      </c>
      <c r="G95" s="15">
        <v>626648.88</v>
      </c>
      <c r="H95" s="14" t="s">
        <v>1432</v>
      </c>
      <c r="I95" s="14" t="s">
        <v>1555</v>
      </c>
    </row>
    <row r="96" spans="1:9" ht="15" customHeight="1" x14ac:dyDescent="0.2">
      <c r="A96" s="14" t="s">
        <v>372</v>
      </c>
      <c r="B96" s="16">
        <v>45980</v>
      </c>
      <c r="C96" s="14" t="s">
        <v>1458</v>
      </c>
      <c r="D96" s="14" t="s">
        <v>39</v>
      </c>
      <c r="E96" s="14">
        <v>1112</v>
      </c>
      <c r="F96" s="15">
        <v>349.91</v>
      </c>
      <c r="G96" s="15">
        <v>389099.92</v>
      </c>
      <c r="H96" s="14" t="s">
        <v>1427</v>
      </c>
      <c r="I96" s="14" t="s">
        <v>1556</v>
      </c>
    </row>
    <row r="97" spans="1:9" ht="15" customHeight="1" x14ac:dyDescent="0.2">
      <c r="A97" s="14" t="s">
        <v>376</v>
      </c>
      <c r="B97" s="16">
        <v>45987</v>
      </c>
      <c r="C97" s="14" t="s">
        <v>1456</v>
      </c>
      <c r="D97" s="14" t="s">
        <v>44</v>
      </c>
      <c r="E97" s="14">
        <v>509</v>
      </c>
      <c r="F97" s="15">
        <v>20.54</v>
      </c>
      <c r="G97" s="15">
        <v>10454.86</v>
      </c>
      <c r="H97" s="14" t="s">
        <v>1432</v>
      </c>
      <c r="I97" s="14" t="s">
        <v>1557</v>
      </c>
    </row>
    <row r="98" spans="1:9" ht="15" customHeight="1" x14ac:dyDescent="0.2">
      <c r="A98" s="14" t="s">
        <v>379</v>
      </c>
      <c r="B98" s="16">
        <v>45935</v>
      </c>
      <c r="C98" s="14" t="s">
        <v>1510</v>
      </c>
      <c r="D98" s="14" t="s">
        <v>45</v>
      </c>
      <c r="E98" s="14">
        <v>1018</v>
      </c>
      <c r="F98" s="15">
        <v>351.88</v>
      </c>
      <c r="G98" s="15">
        <v>358213.84</v>
      </c>
      <c r="H98" s="14" t="s">
        <v>1427</v>
      </c>
      <c r="I98" s="14" t="s">
        <v>1558</v>
      </c>
    </row>
    <row r="99" spans="1:9" ht="15" customHeight="1" x14ac:dyDescent="0.2">
      <c r="A99" s="14" t="s">
        <v>381</v>
      </c>
      <c r="B99" s="16">
        <v>45971</v>
      </c>
      <c r="C99" s="14" t="s">
        <v>1474</v>
      </c>
      <c r="D99" s="14" t="s">
        <v>36</v>
      </c>
      <c r="E99" s="14">
        <v>1659</v>
      </c>
      <c r="F99" s="15">
        <v>278.33999999999997</v>
      </c>
      <c r="G99" s="15">
        <v>461766.06</v>
      </c>
      <c r="H99" s="14" t="s">
        <v>1427</v>
      </c>
      <c r="I99" s="14" t="s">
        <v>1559</v>
      </c>
    </row>
    <row r="100" spans="1:9" ht="15" customHeight="1" x14ac:dyDescent="0.2">
      <c r="A100" s="14" t="s">
        <v>388</v>
      </c>
      <c r="B100" s="16">
        <v>46002</v>
      </c>
      <c r="C100" s="14" t="s">
        <v>1452</v>
      </c>
      <c r="D100" s="14" t="s">
        <v>45</v>
      </c>
      <c r="E100" s="14">
        <v>1604</v>
      </c>
      <c r="F100" s="15">
        <v>119.24</v>
      </c>
      <c r="G100" s="15">
        <v>191260.96</v>
      </c>
      <c r="H100" s="14" t="s">
        <v>1432</v>
      </c>
      <c r="I100" s="14" t="s">
        <v>1560</v>
      </c>
    </row>
    <row r="101" spans="1:9" ht="15" customHeight="1" x14ac:dyDescent="0.2">
      <c r="A101" s="14" t="s">
        <v>390</v>
      </c>
      <c r="B101" s="16">
        <v>46013</v>
      </c>
      <c r="C101" s="14" t="s">
        <v>1510</v>
      </c>
      <c r="D101" s="14" t="s">
        <v>45</v>
      </c>
      <c r="E101" s="14">
        <v>1295</v>
      </c>
      <c r="F101" s="15">
        <v>120.85</v>
      </c>
      <c r="G101" s="15">
        <v>156500.75</v>
      </c>
      <c r="H101" s="14" t="s">
        <v>1427</v>
      </c>
      <c r="I101" s="14" t="s">
        <v>1561</v>
      </c>
    </row>
    <row r="102" spans="1:9" ht="15" customHeight="1" x14ac:dyDescent="0.2">
      <c r="A102" s="14" t="s">
        <v>392</v>
      </c>
      <c r="B102" s="16">
        <v>45976</v>
      </c>
      <c r="C102" s="14" t="s">
        <v>1454</v>
      </c>
      <c r="D102" s="14" t="s">
        <v>45</v>
      </c>
      <c r="E102" s="14">
        <v>764</v>
      </c>
      <c r="F102" s="15">
        <v>333.33</v>
      </c>
      <c r="G102" s="15">
        <v>254664.12</v>
      </c>
      <c r="H102" s="14" t="s">
        <v>1432</v>
      </c>
      <c r="I102" s="14" t="s">
        <v>1562</v>
      </c>
    </row>
    <row r="103" spans="1:9" ht="15" customHeight="1" x14ac:dyDescent="0.2">
      <c r="A103" s="14" t="s">
        <v>394</v>
      </c>
      <c r="B103" s="16">
        <v>46012</v>
      </c>
      <c r="C103" s="14" t="s">
        <v>1510</v>
      </c>
      <c r="D103" s="14" t="s">
        <v>46</v>
      </c>
      <c r="E103" s="14">
        <v>1816</v>
      </c>
      <c r="F103" s="15">
        <v>180.44</v>
      </c>
      <c r="G103" s="15">
        <v>327679.03999999998</v>
      </c>
      <c r="H103" s="14" t="s">
        <v>1432</v>
      </c>
      <c r="I103" s="14" t="s">
        <v>1563</v>
      </c>
    </row>
    <row r="104" spans="1:9" ht="15" customHeight="1" x14ac:dyDescent="0.2">
      <c r="A104" s="14" t="s">
        <v>396</v>
      </c>
      <c r="B104" s="16">
        <v>45987</v>
      </c>
      <c r="C104" s="14" t="s">
        <v>1468</v>
      </c>
      <c r="D104" s="14" t="s">
        <v>46</v>
      </c>
      <c r="E104" s="14">
        <v>1328</v>
      </c>
      <c r="F104" s="15">
        <v>459.62</v>
      </c>
      <c r="G104" s="15">
        <v>610375.36</v>
      </c>
      <c r="H104" s="14" t="s">
        <v>1432</v>
      </c>
      <c r="I104" s="14" t="s">
        <v>1564</v>
      </c>
    </row>
    <row r="105" spans="1:9" ht="15" customHeight="1" x14ac:dyDescent="0.2">
      <c r="A105" s="14" t="s">
        <v>398</v>
      </c>
      <c r="B105" s="16">
        <v>45966</v>
      </c>
      <c r="C105" s="14" t="s">
        <v>1494</v>
      </c>
      <c r="D105" s="14" t="s">
        <v>44</v>
      </c>
      <c r="E105" s="14">
        <v>286</v>
      </c>
      <c r="F105" s="15">
        <v>15.81</v>
      </c>
      <c r="G105" s="15">
        <v>4521.66</v>
      </c>
      <c r="H105" s="14" t="s">
        <v>1427</v>
      </c>
      <c r="I105" s="14" t="s">
        <v>1565</v>
      </c>
    </row>
    <row r="106" spans="1:9" ht="15" customHeight="1" x14ac:dyDescent="0.2">
      <c r="A106" s="14" t="s">
        <v>400</v>
      </c>
      <c r="B106" s="16">
        <v>46012</v>
      </c>
      <c r="C106" s="14" t="s">
        <v>1454</v>
      </c>
      <c r="D106" s="14" t="s">
        <v>46</v>
      </c>
      <c r="E106" s="14">
        <v>51</v>
      </c>
      <c r="F106" s="15">
        <v>140.99</v>
      </c>
      <c r="G106" s="15">
        <v>7190.49</v>
      </c>
      <c r="H106" s="14" t="s">
        <v>1432</v>
      </c>
      <c r="I106" s="14" t="s">
        <v>1566</v>
      </c>
    </row>
    <row r="107" spans="1:9" ht="15" customHeight="1" x14ac:dyDescent="0.2">
      <c r="A107" s="14" t="s">
        <v>402</v>
      </c>
      <c r="B107" s="16">
        <v>46015</v>
      </c>
      <c r="C107" s="14" t="s">
        <v>1480</v>
      </c>
      <c r="D107" s="14" t="s">
        <v>45</v>
      </c>
      <c r="E107" s="14">
        <v>165</v>
      </c>
      <c r="F107" s="15">
        <v>75.83</v>
      </c>
      <c r="G107" s="15">
        <v>12511.95</v>
      </c>
      <c r="H107" s="14" t="s">
        <v>1427</v>
      </c>
      <c r="I107" s="14" t="s">
        <v>1567</v>
      </c>
    </row>
    <row r="108" spans="1:9" ht="15" customHeight="1" x14ac:dyDescent="0.2">
      <c r="A108" s="14" t="s">
        <v>405</v>
      </c>
      <c r="B108" s="16">
        <v>46003</v>
      </c>
      <c r="C108" s="14" t="s">
        <v>1445</v>
      </c>
      <c r="D108" s="14" t="s">
        <v>46</v>
      </c>
      <c r="E108" s="14">
        <v>1184</v>
      </c>
      <c r="F108" s="15">
        <v>50.22</v>
      </c>
      <c r="G108" s="15">
        <v>59460.480000000003</v>
      </c>
      <c r="H108" s="14" t="s">
        <v>1432</v>
      </c>
      <c r="I108" s="14" t="s">
        <v>1568</v>
      </c>
    </row>
    <row r="109" spans="1:9" ht="15" customHeight="1" x14ac:dyDescent="0.2">
      <c r="A109" s="14" t="s">
        <v>407</v>
      </c>
      <c r="B109" s="16">
        <v>45932</v>
      </c>
      <c r="C109" s="14" t="s">
        <v>1494</v>
      </c>
      <c r="D109" s="14" t="s">
        <v>45</v>
      </c>
      <c r="E109" s="14">
        <v>1644</v>
      </c>
      <c r="F109" s="15">
        <v>138.58000000000001</v>
      </c>
      <c r="G109" s="15">
        <v>227825.52</v>
      </c>
      <c r="H109" s="14" t="s">
        <v>1432</v>
      </c>
      <c r="I109" s="14" t="s">
        <v>1569</v>
      </c>
    </row>
    <row r="110" spans="1:9" ht="15" customHeight="1" x14ac:dyDescent="0.2">
      <c r="A110" s="14" t="s">
        <v>409</v>
      </c>
      <c r="B110" s="16">
        <v>45993</v>
      </c>
      <c r="C110" s="14" t="s">
        <v>1468</v>
      </c>
      <c r="D110" s="14" t="s">
        <v>36</v>
      </c>
      <c r="E110" s="14">
        <v>1106</v>
      </c>
      <c r="F110" s="15">
        <v>376.2</v>
      </c>
      <c r="G110" s="15">
        <v>416077.2</v>
      </c>
      <c r="H110" s="14" t="s">
        <v>1432</v>
      </c>
      <c r="I110" s="14" t="s">
        <v>1570</v>
      </c>
    </row>
    <row r="111" spans="1:9" ht="15" customHeight="1" x14ac:dyDescent="0.2">
      <c r="A111" s="14" t="s">
        <v>413</v>
      </c>
      <c r="B111" s="16">
        <v>45956</v>
      </c>
      <c r="C111" s="14" t="s">
        <v>1510</v>
      </c>
      <c r="D111" s="14" t="s">
        <v>36</v>
      </c>
      <c r="E111" s="14">
        <v>1117</v>
      </c>
      <c r="F111" s="15">
        <v>256.89</v>
      </c>
      <c r="G111" s="15">
        <v>286946.13</v>
      </c>
      <c r="H111" s="14" t="s">
        <v>1432</v>
      </c>
      <c r="I111" s="14" t="s">
        <v>1571</v>
      </c>
    </row>
    <row r="112" spans="1:9" ht="15" customHeight="1" x14ac:dyDescent="0.2">
      <c r="A112" s="14" t="s">
        <v>417</v>
      </c>
      <c r="B112" s="16">
        <v>45977</v>
      </c>
      <c r="C112" s="14" t="s">
        <v>1494</v>
      </c>
      <c r="D112" s="14" t="s">
        <v>36</v>
      </c>
      <c r="E112" s="14">
        <v>153</v>
      </c>
      <c r="F112" s="15">
        <v>168.93</v>
      </c>
      <c r="G112" s="15">
        <v>25846.29</v>
      </c>
      <c r="H112" s="14" t="s">
        <v>1432</v>
      </c>
      <c r="I112" s="14" t="s">
        <v>1572</v>
      </c>
    </row>
    <row r="113" spans="1:9" ht="15" customHeight="1" x14ac:dyDescent="0.2">
      <c r="A113" s="14" t="s">
        <v>421</v>
      </c>
      <c r="B113" s="16">
        <v>46013</v>
      </c>
      <c r="C113" s="14" t="s">
        <v>1454</v>
      </c>
      <c r="D113" s="14" t="s">
        <v>45</v>
      </c>
      <c r="E113" s="14">
        <v>1923</v>
      </c>
      <c r="F113" s="15">
        <v>380.39</v>
      </c>
      <c r="G113" s="15">
        <v>731489.97</v>
      </c>
      <c r="H113" s="14" t="s">
        <v>1427</v>
      </c>
      <c r="I113" s="14" t="s">
        <v>1573</v>
      </c>
    </row>
    <row r="114" spans="1:9" ht="15" customHeight="1" x14ac:dyDescent="0.2">
      <c r="A114" s="14" t="s">
        <v>424</v>
      </c>
      <c r="B114" s="16">
        <v>46006</v>
      </c>
      <c r="C114" s="14" t="s">
        <v>1474</v>
      </c>
      <c r="D114" s="14" t="s">
        <v>39</v>
      </c>
      <c r="E114" s="14">
        <v>401</v>
      </c>
      <c r="F114" s="15">
        <v>247.94</v>
      </c>
      <c r="G114" s="15">
        <v>99423.94</v>
      </c>
      <c r="H114" s="14" t="s">
        <v>1432</v>
      </c>
      <c r="I114" s="14" t="s">
        <v>1574</v>
      </c>
    </row>
    <row r="115" spans="1:9" ht="15" customHeight="1" x14ac:dyDescent="0.2">
      <c r="A115" s="14" t="s">
        <v>428</v>
      </c>
      <c r="B115" s="16">
        <v>45942</v>
      </c>
      <c r="C115" s="14" t="s">
        <v>1447</v>
      </c>
      <c r="D115" s="14" t="s">
        <v>36</v>
      </c>
      <c r="E115" s="14">
        <v>866</v>
      </c>
      <c r="F115" s="15">
        <v>281.27999999999997</v>
      </c>
      <c r="G115" s="15">
        <v>243588.48000000001</v>
      </c>
      <c r="H115" s="14" t="s">
        <v>1432</v>
      </c>
      <c r="I115" s="14" t="s">
        <v>1575</v>
      </c>
    </row>
    <row r="116" spans="1:9" ht="15" customHeight="1" x14ac:dyDescent="0.2">
      <c r="A116" s="14" t="s">
        <v>432</v>
      </c>
      <c r="B116" s="16">
        <v>45964</v>
      </c>
      <c r="C116" s="14" t="s">
        <v>1508</v>
      </c>
      <c r="D116" s="14" t="s">
        <v>42</v>
      </c>
      <c r="E116" s="14">
        <v>870</v>
      </c>
      <c r="F116" s="15">
        <v>5.41</v>
      </c>
      <c r="G116" s="15">
        <v>4706.7</v>
      </c>
      <c r="H116" s="14" t="s">
        <v>1427</v>
      </c>
      <c r="I116" s="14" t="s">
        <v>1576</v>
      </c>
    </row>
    <row r="117" spans="1:9" ht="15" customHeight="1" x14ac:dyDescent="0.2">
      <c r="A117" s="14" t="s">
        <v>434</v>
      </c>
      <c r="B117" s="16">
        <v>45995</v>
      </c>
      <c r="C117" s="14" t="s">
        <v>1445</v>
      </c>
      <c r="D117" s="14" t="s">
        <v>44</v>
      </c>
      <c r="E117" s="14">
        <v>1995</v>
      </c>
      <c r="F117" s="15">
        <v>187.3</v>
      </c>
      <c r="G117" s="15">
        <v>373663.5</v>
      </c>
      <c r="H117" s="14" t="s">
        <v>1427</v>
      </c>
      <c r="I117" s="14" t="s">
        <v>1577</v>
      </c>
    </row>
    <row r="118" spans="1:9" ht="15" customHeight="1" x14ac:dyDescent="0.2">
      <c r="A118" s="14" t="s">
        <v>436</v>
      </c>
      <c r="B118" s="16">
        <v>45977</v>
      </c>
      <c r="C118" s="14" t="s">
        <v>1454</v>
      </c>
      <c r="D118" s="14" t="s">
        <v>46</v>
      </c>
      <c r="E118" s="14">
        <v>1403</v>
      </c>
      <c r="F118" s="15">
        <v>32.76</v>
      </c>
      <c r="G118" s="15">
        <v>45962.28</v>
      </c>
      <c r="H118" s="14" t="s">
        <v>1432</v>
      </c>
      <c r="I118" s="14" t="s">
        <v>1578</v>
      </c>
    </row>
    <row r="119" spans="1:9" ht="15" customHeight="1" x14ac:dyDescent="0.2">
      <c r="A119" s="14" t="s">
        <v>438</v>
      </c>
      <c r="B119" s="16">
        <v>45953</v>
      </c>
      <c r="C119" s="14" t="s">
        <v>1478</v>
      </c>
      <c r="D119" s="14" t="s">
        <v>42</v>
      </c>
      <c r="E119" s="14">
        <v>1972</v>
      </c>
      <c r="F119" s="15">
        <v>255.23</v>
      </c>
      <c r="G119" s="15">
        <v>503313.56</v>
      </c>
      <c r="H119" s="14" t="s">
        <v>1432</v>
      </c>
      <c r="I119" s="14" t="s">
        <v>1579</v>
      </c>
    </row>
    <row r="120" spans="1:9" ht="15" customHeight="1" x14ac:dyDescent="0.2">
      <c r="A120" s="14" t="s">
        <v>440</v>
      </c>
      <c r="B120" s="16">
        <v>45967</v>
      </c>
      <c r="C120" s="14" t="s">
        <v>1454</v>
      </c>
      <c r="D120" s="14" t="s">
        <v>46</v>
      </c>
      <c r="E120" s="14">
        <v>119</v>
      </c>
      <c r="F120" s="15">
        <v>361.93</v>
      </c>
      <c r="G120" s="15">
        <v>43069.67</v>
      </c>
      <c r="H120" s="14" t="s">
        <v>1427</v>
      </c>
      <c r="I120" s="14" t="s">
        <v>1580</v>
      </c>
    </row>
    <row r="121" spans="1:9" ht="15" customHeight="1" x14ac:dyDescent="0.2">
      <c r="A121" s="14" t="s">
        <v>442</v>
      </c>
      <c r="B121" s="16">
        <v>45936</v>
      </c>
      <c r="C121" s="14" t="s">
        <v>1449</v>
      </c>
      <c r="D121" s="14" t="s">
        <v>47</v>
      </c>
      <c r="E121" s="14">
        <v>818</v>
      </c>
      <c r="F121" s="15">
        <v>30.4</v>
      </c>
      <c r="G121" s="15">
        <v>24867.200000000001</v>
      </c>
      <c r="H121" s="14" t="s">
        <v>1432</v>
      </c>
      <c r="I121" s="14" t="s">
        <v>1581</v>
      </c>
    </row>
    <row r="122" spans="1:9" ht="15" customHeight="1" x14ac:dyDescent="0.2">
      <c r="A122" s="14" t="s">
        <v>445</v>
      </c>
      <c r="B122" s="16">
        <v>45967</v>
      </c>
      <c r="C122" s="14" t="s">
        <v>1449</v>
      </c>
      <c r="D122" s="14" t="s">
        <v>39</v>
      </c>
      <c r="E122" s="14">
        <v>1525</v>
      </c>
      <c r="F122" s="15">
        <v>379.92</v>
      </c>
      <c r="G122" s="15">
        <v>579378</v>
      </c>
      <c r="H122" s="14" t="s">
        <v>1427</v>
      </c>
      <c r="I122" s="14" t="s">
        <v>1582</v>
      </c>
    </row>
    <row r="123" spans="1:9" ht="15" customHeight="1" x14ac:dyDescent="0.2">
      <c r="A123" s="14" t="s">
        <v>449</v>
      </c>
      <c r="B123" s="16">
        <v>46008</v>
      </c>
      <c r="C123" s="14" t="s">
        <v>1478</v>
      </c>
      <c r="D123" s="14" t="s">
        <v>42</v>
      </c>
      <c r="E123" s="14">
        <v>1241</v>
      </c>
      <c r="F123" s="15">
        <v>411.7</v>
      </c>
      <c r="G123" s="15">
        <v>510919.7</v>
      </c>
      <c r="H123" s="14" t="s">
        <v>1427</v>
      </c>
      <c r="I123" s="14" t="s">
        <v>1583</v>
      </c>
    </row>
    <row r="124" spans="1:9" ht="15" customHeight="1" x14ac:dyDescent="0.2">
      <c r="A124" s="14" t="s">
        <v>451</v>
      </c>
      <c r="B124" s="16">
        <v>45995</v>
      </c>
      <c r="C124" s="14" t="s">
        <v>1478</v>
      </c>
      <c r="D124" s="14" t="s">
        <v>42</v>
      </c>
      <c r="E124" s="14">
        <v>1705</v>
      </c>
      <c r="F124" s="15">
        <v>448.1</v>
      </c>
      <c r="G124" s="15">
        <v>764010.5</v>
      </c>
      <c r="H124" s="14" t="s">
        <v>1432</v>
      </c>
      <c r="I124" s="14" t="s">
        <v>1584</v>
      </c>
    </row>
    <row r="125" spans="1:9" ht="15" customHeight="1" x14ac:dyDescent="0.2">
      <c r="A125" s="14" t="s">
        <v>453</v>
      </c>
      <c r="B125" s="16">
        <v>45963</v>
      </c>
      <c r="C125" s="14" t="s">
        <v>1445</v>
      </c>
      <c r="D125" s="14" t="s">
        <v>36</v>
      </c>
      <c r="E125" s="14">
        <v>1617</v>
      </c>
      <c r="F125" s="15">
        <v>212.48</v>
      </c>
      <c r="G125" s="15">
        <v>343580.15999999997</v>
      </c>
      <c r="H125" s="14" t="s">
        <v>1432</v>
      </c>
      <c r="I125" s="14" t="s">
        <v>1585</v>
      </c>
    </row>
    <row r="126" spans="1:9" ht="15" customHeight="1" x14ac:dyDescent="0.2">
      <c r="A126" s="14" t="s">
        <v>460</v>
      </c>
      <c r="B126" s="16">
        <v>46003</v>
      </c>
      <c r="C126" s="14" t="s">
        <v>1468</v>
      </c>
      <c r="D126" s="14" t="s">
        <v>46</v>
      </c>
      <c r="E126" s="14">
        <v>1006</v>
      </c>
      <c r="F126" s="15">
        <v>184.72</v>
      </c>
      <c r="G126" s="15">
        <v>185828.32</v>
      </c>
      <c r="H126" s="14" t="s">
        <v>1432</v>
      </c>
      <c r="I126" s="14" t="s">
        <v>1586</v>
      </c>
    </row>
    <row r="127" spans="1:9" ht="15" customHeight="1" x14ac:dyDescent="0.2">
      <c r="A127" s="14" t="s">
        <v>462</v>
      </c>
      <c r="B127" s="16">
        <v>45982</v>
      </c>
      <c r="C127" s="14" t="s">
        <v>1452</v>
      </c>
      <c r="D127" s="14" t="s">
        <v>42</v>
      </c>
      <c r="E127" s="14">
        <v>473</v>
      </c>
      <c r="F127" s="15">
        <v>475.07</v>
      </c>
      <c r="G127" s="15">
        <v>224708.11</v>
      </c>
      <c r="H127" s="14" t="s">
        <v>1432</v>
      </c>
      <c r="I127" s="14" t="s">
        <v>1587</v>
      </c>
    </row>
    <row r="128" spans="1:9" ht="15" customHeight="1" x14ac:dyDescent="0.2">
      <c r="A128" s="14" t="s">
        <v>464</v>
      </c>
      <c r="B128" s="16">
        <v>45948</v>
      </c>
      <c r="C128" s="14" t="s">
        <v>1474</v>
      </c>
      <c r="D128" s="14" t="s">
        <v>42</v>
      </c>
      <c r="E128" s="14">
        <v>869</v>
      </c>
      <c r="F128" s="15">
        <v>486.24</v>
      </c>
      <c r="G128" s="15">
        <v>422542.56</v>
      </c>
      <c r="H128" s="14" t="s">
        <v>1432</v>
      </c>
      <c r="I128" s="14" t="s">
        <v>1588</v>
      </c>
    </row>
    <row r="129" spans="1:9" ht="15" customHeight="1" x14ac:dyDescent="0.2">
      <c r="A129" s="14" t="s">
        <v>467</v>
      </c>
      <c r="B129" s="16">
        <v>46002</v>
      </c>
      <c r="C129" s="14" t="s">
        <v>1456</v>
      </c>
      <c r="D129" s="14" t="s">
        <v>45</v>
      </c>
      <c r="E129" s="14">
        <v>527</v>
      </c>
      <c r="F129" s="15">
        <v>358.94</v>
      </c>
      <c r="G129" s="15">
        <v>189161.38</v>
      </c>
      <c r="H129" s="14" t="s">
        <v>1432</v>
      </c>
      <c r="I129" s="14" t="s">
        <v>1589</v>
      </c>
    </row>
    <row r="130" spans="1:9" ht="15" customHeight="1" x14ac:dyDescent="0.2">
      <c r="A130" s="14" t="s">
        <v>470</v>
      </c>
      <c r="B130" s="16">
        <v>46019</v>
      </c>
      <c r="C130" s="14" t="s">
        <v>1454</v>
      </c>
      <c r="D130" s="14" t="s">
        <v>42</v>
      </c>
      <c r="E130" s="14">
        <v>823</v>
      </c>
      <c r="F130" s="15">
        <v>151.55000000000001</v>
      </c>
      <c r="G130" s="15">
        <v>124725.65</v>
      </c>
      <c r="H130" s="14" t="s">
        <v>1432</v>
      </c>
      <c r="I130" s="14" t="s">
        <v>1590</v>
      </c>
    </row>
    <row r="131" spans="1:9" ht="15" customHeight="1" x14ac:dyDescent="0.2">
      <c r="A131" s="14" t="s">
        <v>472</v>
      </c>
      <c r="B131" s="16">
        <v>46015</v>
      </c>
      <c r="C131" s="14" t="s">
        <v>1456</v>
      </c>
      <c r="D131" s="14" t="s">
        <v>39</v>
      </c>
      <c r="E131" s="14">
        <v>193</v>
      </c>
      <c r="F131" s="15">
        <v>37.06</v>
      </c>
      <c r="G131" s="15">
        <v>7152.58</v>
      </c>
      <c r="H131" s="14" t="s">
        <v>1432</v>
      </c>
      <c r="I131" s="14" t="s">
        <v>1591</v>
      </c>
    </row>
    <row r="132" spans="1:9" ht="15" customHeight="1" x14ac:dyDescent="0.2">
      <c r="A132" s="14" t="s">
        <v>476</v>
      </c>
      <c r="B132" s="16">
        <v>45967</v>
      </c>
      <c r="C132" s="14" t="s">
        <v>1468</v>
      </c>
      <c r="D132" s="14" t="s">
        <v>36</v>
      </c>
      <c r="E132" s="14">
        <v>78</v>
      </c>
      <c r="F132" s="15">
        <v>129.15</v>
      </c>
      <c r="G132" s="15">
        <v>10073.700000000001</v>
      </c>
      <c r="H132" s="14" t="s">
        <v>1427</v>
      </c>
      <c r="I132" s="14" t="s">
        <v>1592</v>
      </c>
    </row>
    <row r="133" spans="1:9" ht="15" customHeight="1" x14ac:dyDescent="0.2">
      <c r="A133" s="14" t="s">
        <v>480</v>
      </c>
      <c r="B133" s="16">
        <v>45984</v>
      </c>
      <c r="C133" s="14" t="s">
        <v>1466</v>
      </c>
      <c r="D133" s="14" t="s">
        <v>46</v>
      </c>
      <c r="E133" s="14">
        <v>1949</v>
      </c>
      <c r="F133" s="15">
        <v>494.61</v>
      </c>
      <c r="G133" s="15">
        <v>963994.89</v>
      </c>
      <c r="H133" s="14" t="s">
        <v>1427</v>
      </c>
      <c r="I133" s="14" t="s">
        <v>1593</v>
      </c>
    </row>
    <row r="134" spans="1:9" ht="15" customHeight="1" x14ac:dyDescent="0.2">
      <c r="A134" s="14" t="s">
        <v>482</v>
      </c>
      <c r="B134" s="16">
        <v>46002</v>
      </c>
      <c r="C134" s="14" t="s">
        <v>1458</v>
      </c>
      <c r="D134" s="14" t="s">
        <v>42</v>
      </c>
      <c r="E134" s="14">
        <v>1227</v>
      </c>
      <c r="F134" s="15">
        <v>298.08</v>
      </c>
      <c r="G134" s="15">
        <v>365744.16</v>
      </c>
      <c r="H134" s="14" t="s">
        <v>1427</v>
      </c>
      <c r="I134" s="14" t="s">
        <v>1594</v>
      </c>
    </row>
    <row r="135" spans="1:9" ht="15" customHeight="1" x14ac:dyDescent="0.2">
      <c r="A135" s="14" t="s">
        <v>484</v>
      </c>
      <c r="B135" s="16">
        <v>45981</v>
      </c>
      <c r="C135" s="14" t="s">
        <v>1449</v>
      </c>
      <c r="D135" s="14" t="s">
        <v>44</v>
      </c>
      <c r="E135" s="14">
        <v>1751</v>
      </c>
      <c r="F135" s="15">
        <v>146.44999999999999</v>
      </c>
      <c r="G135" s="15">
        <v>256433.95</v>
      </c>
      <c r="H135" s="14" t="s">
        <v>1432</v>
      </c>
      <c r="I135" s="14" t="s">
        <v>1595</v>
      </c>
    </row>
    <row r="136" spans="1:9" ht="15" customHeight="1" x14ac:dyDescent="0.2">
      <c r="A136" s="14" t="s">
        <v>486</v>
      </c>
      <c r="B136" s="16">
        <v>45977</v>
      </c>
      <c r="C136" s="14" t="s">
        <v>1474</v>
      </c>
      <c r="D136" s="14" t="s">
        <v>42</v>
      </c>
      <c r="E136" s="14">
        <v>1956</v>
      </c>
      <c r="F136" s="15">
        <v>379.49</v>
      </c>
      <c r="G136" s="15">
        <v>742282.44</v>
      </c>
      <c r="H136" s="14" t="s">
        <v>1427</v>
      </c>
      <c r="I136" s="14" t="s">
        <v>1596</v>
      </c>
    </row>
    <row r="137" spans="1:9" ht="15" customHeight="1" x14ac:dyDescent="0.2">
      <c r="A137" s="14" t="s">
        <v>489</v>
      </c>
      <c r="B137" s="16">
        <v>45963</v>
      </c>
      <c r="C137" s="14" t="s">
        <v>1474</v>
      </c>
      <c r="D137" s="14" t="s">
        <v>47</v>
      </c>
      <c r="E137" s="14">
        <v>697</v>
      </c>
      <c r="F137" s="15">
        <v>114.74</v>
      </c>
      <c r="G137" s="15">
        <v>79973.78</v>
      </c>
      <c r="H137" s="14" t="s">
        <v>1427</v>
      </c>
      <c r="I137" s="14" t="s">
        <v>1597</v>
      </c>
    </row>
    <row r="138" spans="1:9" ht="15" customHeight="1" x14ac:dyDescent="0.2">
      <c r="A138" s="14" t="s">
        <v>491</v>
      </c>
      <c r="B138" s="16">
        <v>45980</v>
      </c>
      <c r="C138" s="14" t="s">
        <v>1510</v>
      </c>
      <c r="D138" s="14" t="s">
        <v>45</v>
      </c>
      <c r="E138" s="14">
        <v>1380</v>
      </c>
      <c r="F138" s="15">
        <v>135.74</v>
      </c>
      <c r="G138" s="15">
        <v>187321.2</v>
      </c>
      <c r="H138" s="14" t="s">
        <v>1432</v>
      </c>
      <c r="I138" s="14" t="s">
        <v>1598</v>
      </c>
    </row>
    <row r="139" spans="1:9" ht="15" customHeight="1" x14ac:dyDescent="0.2">
      <c r="A139" s="14" t="s">
        <v>493</v>
      </c>
      <c r="B139" s="16">
        <v>45965</v>
      </c>
      <c r="C139" s="14" t="s">
        <v>1494</v>
      </c>
      <c r="D139" s="14" t="s">
        <v>47</v>
      </c>
      <c r="E139" s="14">
        <v>718</v>
      </c>
      <c r="F139" s="15">
        <v>347</v>
      </c>
      <c r="G139" s="15">
        <v>249146</v>
      </c>
      <c r="H139" s="14" t="s">
        <v>1432</v>
      </c>
      <c r="I139" s="14" t="s">
        <v>1599</v>
      </c>
    </row>
    <row r="140" spans="1:9" ht="15" customHeight="1" x14ac:dyDescent="0.2">
      <c r="A140" s="14" t="s">
        <v>495</v>
      </c>
      <c r="B140" s="16">
        <v>46014</v>
      </c>
      <c r="C140" s="14" t="s">
        <v>1447</v>
      </c>
      <c r="D140" s="14" t="s">
        <v>44</v>
      </c>
      <c r="E140" s="14">
        <v>1835</v>
      </c>
      <c r="F140" s="15">
        <v>185.2</v>
      </c>
      <c r="G140" s="15">
        <v>339842</v>
      </c>
      <c r="H140" s="14" t="s">
        <v>1427</v>
      </c>
      <c r="I140" s="14" t="s">
        <v>1600</v>
      </c>
    </row>
    <row r="141" spans="1:9" ht="15" customHeight="1" x14ac:dyDescent="0.2">
      <c r="A141" s="14" t="s">
        <v>498</v>
      </c>
      <c r="B141" s="16">
        <v>46008</v>
      </c>
      <c r="C141" s="14" t="s">
        <v>1474</v>
      </c>
      <c r="D141" s="14" t="s">
        <v>47</v>
      </c>
      <c r="E141" s="14">
        <v>327</v>
      </c>
      <c r="F141" s="15">
        <v>451.59</v>
      </c>
      <c r="G141" s="15">
        <v>147669.93</v>
      </c>
      <c r="H141" s="14" t="s">
        <v>1427</v>
      </c>
      <c r="I141" s="14" t="s">
        <v>1601</v>
      </c>
    </row>
    <row r="142" spans="1:9" ht="15" customHeight="1" x14ac:dyDescent="0.2">
      <c r="A142" s="14" t="s">
        <v>500</v>
      </c>
      <c r="B142" s="16">
        <v>46005</v>
      </c>
      <c r="C142" s="14" t="s">
        <v>1466</v>
      </c>
      <c r="D142" s="14" t="s">
        <v>47</v>
      </c>
      <c r="E142" s="14">
        <v>24</v>
      </c>
      <c r="F142" s="15">
        <v>158.5</v>
      </c>
      <c r="G142" s="15">
        <v>3804</v>
      </c>
      <c r="H142" s="14" t="s">
        <v>1427</v>
      </c>
      <c r="I142" s="14" t="s">
        <v>1602</v>
      </c>
    </row>
    <row r="143" spans="1:9" ht="15" customHeight="1" x14ac:dyDescent="0.2">
      <c r="A143" s="14" t="s">
        <v>502</v>
      </c>
      <c r="B143" s="16">
        <v>45993</v>
      </c>
      <c r="C143" s="14" t="s">
        <v>1466</v>
      </c>
      <c r="D143" s="14" t="s">
        <v>36</v>
      </c>
      <c r="E143" s="14">
        <v>1354</v>
      </c>
      <c r="F143" s="15">
        <v>480.08</v>
      </c>
      <c r="G143" s="15">
        <v>650028.31999999995</v>
      </c>
      <c r="H143" s="14" t="s">
        <v>1432</v>
      </c>
      <c r="I143" s="14" t="s">
        <v>1603</v>
      </c>
    </row>
    <row r="144" spans="1:9" ht="15" customHeight="1" x14ac:dyDescent="0.2">
      <c r="A144" s="14" t="s">
        <v>509</v>
      </c>
      <c r="B144" s="16">
        <v>45981</v>
      </c>
      <c r="C144" s="14" t="s">
        <v>1456</v>
      </c>
      <c r="D144" s="14" t="s">
        <v>36</v>
      </c>
      <c r="E144" s="14">
        <v>1264</v>
      </c>
      <c r="F144" s="15">
        <v>110.43</v>
      </c>
      <c r="G144" s="15">
        <v>139583.51999999999</v>
      </c>
      <c r="H144" s="14" t="s">
        <v>1432</v>
      </c>
      <c r="I144" s="14" t="s">
        <v>1604</v>
      </c>
    </row>
    <row r="145" spans="1:9" ht="15" customHeight="1" x14ac:dyDescent="0.2">
      <c r="A145" s="14" t="s">
        <v>516</v>
      </c>
      <c r="B145" s="16">
        <v>45942</v>
      </c>
      <c r="C145" s="14" t="s">
        <v>1478</v>
      </c>
      <c r="D145" s="14" t="s">
        <v>39</v>
      </c>
      <c r="E145" s="14">
        <v>738</v>
      </c>
      <c r="F145" s="15">
        <v>87.43</v>
      </c>
      <c r="G145" s="15">
        <v>64523.34</v>
      </c>
      <c r="H145" s="14" t="s">
        <v>1432</v>
      </c>
      <c r="I145" s="14" t="s">
        <v>1605</v>
      </c>
    </row>
    <row r="146" spans="1:9" ht="15" customHeight="1" x14ac:dyDescent="0.2">
      <c r="A146" s="14" t="s">
        <v>520</v>
      </c>
      <c r="B146" s="16">
        <v>45982</v>
      </c>
      <c r="C146" s="14" t="s">
        <v>1480</v>
      </c>
      <c r="D146" s="14" t="s">
        <v>36</v>
      </c>
      <c r="E146" s="14">
        <v>442</v>
      </c>
      <c r="F146" s="15">
        <v>428.49</v>
      </c>
      <c r="G146" s="15">
        <v>189392.58</v>
      </c>
      <c r="H146" s="14" t="s">
        <v>1427</v>
      </c>
      <c r="I146" s="14" t="s">
        <v>1606</v>
      </c>
    </row>
    <row r="147" spans="1:9" ht="15" customHeight="1" x14ac:dyDescent="0.2">
      <c r="A147" s="14" t="s">
        <v>524</v>
      </c>
      <c r="B147" s="16">
        <v>45967</v>
      </c>
      <c r="C147" s="14" t="s">
        <v>1468</v>
      </c>
      <c r="D147" s="14" t="s">
        <v>46</v>
      </c>
      <c r="E147" s="14">
        <v>1695</v>
      </c>
      <c r="F147" s="15">
        <v>409.73</v>
      </c>
      <c r="G147" s="15">
        <v>694492.35</v>
      </c>
      <c r="H147" s="14" t="s">
        <v>1427</v>
      </c>
      <c r="I147" s="14" t="s">
        <v>1607</v>
      </c>
    </row>
    <row r="148" spans="1:9" ht="15" customHeight="1" x14ac:dyDescent="0.2">
      <c r="A148" s="14" t="s">
        <v>526</v>
      </c>
      <c r="B148" s="16">
        <v>45971</v>
      </c>
      <c r="C148" s="14" t="s">
        <v>1449</v>
      </c>
      <c r="D148" s="14" t="s">
        <v>39</v>
      </c>
      <c r="E148" s="14">
        <v>1709</v>
      </c>
      <c r="F148" s="15">
        <v>139.12</v>
      </c>
      <c r="G148" s="15">
        <v>237756.08</v>
      </c>
      <c r="H148" s="14" t="s">
        <v>1432</v>
      </c>
      <c r="I148" s="14" t="s">
        <v>1608</v>
      </c>
    </row>
    <row r="149" spans="1:9" ht="15" customHeight="1" x14ac:dyDescent="0.2">
      <c r="A149" s="14" t="s">
        <v>530</v>
      </c>
      <c r="B149" s="16">
        <v>45984</v>
      </c>
      <c r="C149" s="14" t="s">
        <v>1474</v>
      </c>
      <c r="D149" s="14" t="s">
        <v>47</v>
      </c>
      <c r="E149" s="14">
        <v>1526</v>
      </c>
      <c r="F149" s="15">
        <v>266.11</v>
      </c>
      <c r="G149" s="15">
        <v>406083.86</v>
      </c>
      <c r="H149" s="14" t="s">
        <v>1432</v>
      </c>
      <c r="I149" s="14" t="s">
        <v>1609</v>
      </c>
    </row>
    <row r="150" spans="1:9" ht="15" customHeight="1" x14ac:dyDescent="0.2">
      <c r="A150" s="14" t="s">
        <v>533</v>
      </c>
      <c r="B150" s="16">
        <v>46014</v>
      </c>
      <c r="C150" s="14" t="s">
        <v>1468</v>
      </c>
      <c r="D150" s="14" t="s">
        <v>44</v>
      </c>
      <c r="E150" s="14">
        <v>1185</v>
      </c>
      <c r="F150" s="15">
        <v>185.91</v>
      </c>
      <c r="G150" s="15">
        <v>220303.35</v>
      </c>
      <c r="H150" s="14" t="s">
        <v>1432</v>
      </c>
      <c r="I150" s="14" t="s">
        <v>1610</v>
      </c>
    </row>
    <row r="151" spans="1:9" ht="15" customHeight="1" x14ac:dyDescent="0.2">
      <c r="A151" s="14" t="s">
        <v>535</v>
      </c>
      <c r="B151" s="16">
        <v>45955</v>
      </c>
      <c r="C151" s="14" t="s">
        <v>1447</v>
      </c>
      <c r="D151" s="14" t="s">
        <v>36</v>
      </c>
      <c r="E151" s="14">
        <v>1836</v>
      </c>
      <c r="F151" s="15">
        <v>353.27</v>
      </c>
      <c r="G151" s="15">
        <v>648603.72</v>
      </c>
      <c r="H151" s="14" t="s">
        <v>1432</v>
      </c>
      <c r="I151" s="14" t="s">
        <v>1611</v>
      </c>
    </row>
    <row r="152" spans="1:9" ht="15" customHeight="1" x14ac:dyDescent="0.2">
      <c r="A152" s="14" t="s">
        <v>539</v>
      </c>
      <c r="B152" s="16">
        <v>45945</v>
      </c>
      <c r="C152" s="14" t="s">
        <v>1458</v>
      </c>
      <c r="D152" s="14" t="s">
        <v>46</v>
      </c>
      <c r="E152" s="14">
        <v>1406</v>
      </c>
      <c r="F152" s="15">
        <v>423.29</v>
      </c>
      <c r="G152" s="15">
        <v>595145.74</v>
      </c>
      <c r="H152" s="14" t="s">
        <v>1432</v>
      </c>
      <c r="I152" s="14" t="s">
        <v>1612</v>
      </c>
    </row>
    <row r="153" spans="1:9" ht="15" customHeight="1" x14ac:dyDescent="0.2">
      <c r="A153" s="14" t="s">
        <v>542</v>
      </c>
      <c r="B153" s="16">
        <v>46000</v>
      </c>
      <c r="C153" s="14" t="s">
        <v>1449</v>
      </c>
      <c r="D153" s="14" t="s">
        <v>44</v>
      </c>
      <c r="E153" s="14">
        <v>782</v>
      </c>
      <c r="F153" s="15">
        <v>379.03</v>
      </c>
      <c r="G153" s="15">
        <v>296401.46000000002</v>
      </c>
      <c r="H153" s="14" t="s">
        <v>1432</v>
      </c>
      <c r="I153" s="14" t="s">
        <v>1613</v>
      </c>
    </row>
    <row r="154" spans="1:9" ht="15" customHeight="1" x14ac:dyDescent="0.2">
      <c r="A154" s="14" t="s">
        <v>544</v>
      </c>
      <c r="B154" s="16">
        <v>45978</v>
      </c>
      <c r="C154" s="14" t="s">
        <v>1508</v>
      </c>
      <c r="D154" s="14" t="s">
        <v>42</v>
      </c>
      <c r="E154" s="14">
        <v>1583</v>
      </c>
      <c r="F154" s="15">
        <v>275.27999999999997</v>
      </c>
      <c r="G154" s="15">
        <v>435768.24</v>
      </c>
      <c r="H154" s="14" t="s">
        <v>1427</v>
      </c>
      <c r="I154" s="14" t="s">
        <v>1614</v>
      </c>
    </row>
    <row r="155" spans="1:9" ht="15" customHeight="1" x14ac:dyDescent="0.2">
      <c r="A155" s="14" t="s">
        <v>546</v>
      </c>
      <c r="B155" s="16">
        <v>45989</v>
      </c>
      <c r="C155" s="14" t="s">
        <v>1480</v>
      </c>
      <c r="D155" s="14" t="s">
        <v>46</v>
      </c>
      <c r="E155" s="14">
        <v>1530</v>
      </c>
      <c r="F155" s="15">
        <v>351.99</v>
      </c>
      <c r="G155" s="15">
        <v>538544.69999999995</v>
      </c>
      <c r="H155" s="14" t="s">
        <v>1432</v>
      </c>
      <c r="I155" s="14" t="s">
        <v>1615</v>
      </c>
    </row>
    <row r="156" spans="1:9" ht="15" customHeight="1" x14ac:dyDescent="0.2">
      <c r="A156" s="14" t="s">
        <v>548</v>
      </c>
      <c r="B156" s="16">
        <v>46007</v>
      </c>
      <c r="C156" s="14" t="s">
        <v>1508</v>
      </c>
      <c r="D156" s="14" t="s">
        <v>47</v>
      </c>
      <c r="E156" s="14">
        <v>1072</v>
      </c>
      <c r="F156" s="15">
        <v>176.24</v>
      </c>
      <c r="G156" s="15">
        <v>188929.28</v>
      </c>
      <c r="H156" s="14" t="s">
        <v>1427</v>
      </c>
      <c r="I156" s="14" t="s">
        <v>1616</v>
      </c>
    </row>
    <row r="157" spans="1:9" ht="15" customHeight="1" x14ac:dyDescent="0.2">
      <c r="A157" s="14" t="s">
        <v>551</v>
      </c>
      <c r="B157" s="16">
        <v>45984</v>
      </c>
      <c r="C157" s="14" t="s">
        <v>1466</v>
      </c>
      <c r="D157" s="14" t="s">
        <v>46</v>
      </c>
      <c r="E157" s="14">
        <v>287</v>
      </c>
      <c r="F157" s="15">
        <v>481.21</v>
      </c>
      <c r="G157" s="15">
        <v>138107.26999999999</v>
      </c>
      <c r="H157" s="14" t="s">
        <v>1432</v>
      </c>
      <c r="I157" s="14" t="s">
        <v>1617</v>
      </c>
    </row>
    <row r="158" spans="1:9" ht="15" customHeight="1" x14ac:dyDescent="0.2">
      <c r="A158" s="14" t="s">
        <v>553</v>
      </c>
      <c r="B158" s="16">
        <v>45938</v>
      </c>
      <c r="C158" s="14" t="s">
        <v>1449</v>
      </c>
      <c r="D158" s="14" t="s">
        <v>39</v>
      </c>
      <c r="E158" s="14">
        <v>623</v>
      </c>
      <c r="F158" s="15">
        <v>320.11</v>
      </c>
      <c r="G158" s="15">
        <v>199428.53</v>
      </c>
      <c r="H158" s="14" t="s">
        <v>1427</v>
      </c>
      <c r="I158" s="14" t="s">
        <v>1618</v>
      </c>
    </row>
    <row r="159" spans="1:9" ht="15" customHeight="1" x14ac:dyDescent="0.2">
      <c r="A159" s="14" t="s">
        <v>557</v>
      </c>
      <c r="B159" s="16">
        <v>45935</v>
      </c>
      <c r="C159" s="14" t="s">
        <v>1445</v>
      </c>
      <c r="D159" s="14" t="s">
        <v>47</v>
      </c>
      <c r="E159" s="14">
        <v>288</v>
      </c>
      <c r="F159" s="15">
        <v>65.510000000000005</v>
      </c>
      <c r="G159" s="15">
        <v>18866.88</v>
      </c>
      <c r="H159" s="14" t="s">
        <v>1427</v>
      </c>
      <c r="I159" s="14" t="s">
        <v>1619</v>
      </c>
    </row>
    <row r="160" spans="1:9" ht="15" customHeight="1" x14ac:dyDescent="0.2">
      <c r="A160" s="14" t="s">
        <v>560</v>
      </c>
      <c r="B160" s="16">
        <v>45979</v>
      </c>
      <c r="C160" s="14" t="s">
        <v>1508</v>
      </c>
      <c r="D160" s="14" t="s">
        <v>42</v>
      </c>
      <c r="E160" s="14">
        <v>1612</v>
      </c>
      <c r="F160" s="15">
        <v>314.5</v>
      </c>
      <c r="G160" s="15">
        <v>506974</v>
      </c>
      <c r="H160" s="14" t="s">
        <v>1432</v>
      </c>
      <c r="I160" s="14" t="s">
        <v>1620</v>
      </c>
    </row>
    <row r="161" spans="1:9" ht="15" customHeight="1" x14ac:dyDescent="0.2">
      <c r="A161" s="14" t="s">
        <v>562</v>
      </c>
      <c r="B161" s="16">
        <v>46002</v>
      </c>
      <c r="C161" s="14" t="s">
        <v>1466</v>
      </c>
      <c r="D161" s="14" t="s">
        <v>46</v>
      </c>
      <c r="E161" s="14">
        <v>1211</v>
      </c>
      <c r="F161" s="15">
        <v>44.35</v>
      </c>
      <c r="G161" s="15">
        <v>53707.85</v>
      </c>
      <c r="H161" s="14" t="s">
        <v>1432</v>
      </c>
      <c r="I161" s="14" t="s">
        <v>1621</v>
      </c>
    </row>
    <row r="162" spans="1:9" ht="15" customHeight="1" x14ac:dyDescent="0.2">
      <c r="A162" s="14" t="s">
        <v>564</v>
      </c>
      <c r="B162" s="16">
        <v>45987</v>
      </c>
      <c r="C162" s="14" t="s">
        <v>1466</v>
      </c>
      <c r="D162" s="14" t="s">
        <v>47</v>
      </c>
      <c r="E162" s="14">
        <v>515</v>
      </c>
      <c r="F162" s="15">
        <v>460.69</v>
      </c>
      <c r="G162" s="15">
        <v>237255.35</v>
      </c>
      <c r="H162" s="14" t="s">
        <v>1432</v>
      </c>
      <c r="I162" s="14" t="s">
        <v>1622</v>
      </c>
    </row>
    <row r="163" spans="1:9" ht="15" customHeight="1" x14ac:dyDescent="0.2">
      <c r="A163" s="14" t="s">
        <v>567</v>
      </c>
      <c r="B163" s="16">
        <v>45931</v>
      </c>
      <c r="C163" s="14" t="s">
        <v>1466</v>
      </c>
      <c r="D163" s="14" t="s">
        <v>44</v>
      </c>
      <c r="E163" s="14">
        <v>796</v>
      </c>
      <c r="F163" s="15">
        <v>187.55</v>
      </c>
      <c r="G163" s="15">
        <v>149289.79999999999</v>
      </c>
      <c r="H163" s="14" t="s">
        <v>1427</v>
      </c>
      <c r="I163" s="14" t="s">
        <v>1623</v>
      </c>
    </row>
    <row r="164" spans="1:9" ht="15" customHeight="1" x14ac:dyDescent="0.2">
      <c r="A164" s="14" t="s">
        <v>569</v>
      </c>
      <c r="B164" s="16">
        <v>46011</v>
      </c>
      <c r="C164" s="14" t="s">
        <v>1449</v>
      </c>
      <c r="D164" s="14" t="s">
        <v>46</v>
      </c>
      <c r="E164" s="14">
        <v>510</v>
      </c>
      <c r="F164" s="15">
        <v>97.8</v>
      </c>
      <c r="G164" s="15">
        <v>49878</v>
      </c>
      <c r="H164" s="14" t="s">
        <v>1432</v>
      </c>
      <c r="I164" s="14" t="s">
        <v>1624</v>
      </c>
    </row>
    <row r="165" spans="1:9" ht="15" customHeight="1" x14ac:dyDescent="0.2">
      <c r="A165" s="14" t="s">
        <v>571</v>
      </c>
      <c r="B165" s="16">
        <v>45969</v>
      </c>
      <c r="C165" s="14" t="s">
        <v>1508</v>
      </c>
      <c r="D165" s="14" t="s">
        <v>44</v>
      </c>
      <c r="E165" s="14">
        <v>736</v>
      </c>
      <c r="F165" s="15">
        <v>164.35</v>
      </c>
      <c r="G165" s="15">
        <v>120961.60000000001</v>
      </c>
      <c r="H165" s="14" t="s">
        <v>1427</v>
      </c>
      <c r="I165" s="14" t="s">
        <v>1625</v>
      </c>
    </row>
    <row r="166" spans="1:9" ht="15" customHeight="1" x14ac:dyDescent="0.2">
      <c r="A166" s="14" t="s">
        <v>573</v>
      </c>
      <c r="B166" s="16">
        <v>45943</v>
      </c>
      <c r="C166" s="14" t="s">
        <v>1474</v>
      </c>
      <c r="D166" s="14" t="s">
        <v>45</v>
      </c>
      <c r="E166" s="14">
        <v>634</v>
      </c>
      <c r="F166" s="15">
        <v>43.38</v>
      </c>
      <c r="G166" s="15">
        <v>27502.92</v>
      </c>
      <c r="H166" s="14" t="s">
        <v>1427</v>
      </c>
      <c r="I166" s="14" t="s">
        <v>1626</v>
      </c>
    </row>
    <row r="167" spans="1:9" ht="15" customHeight="1" x14ac:dyDescent="0.2">
      <c r="A167" s="14" t="s">
        <v>575</v>
      </c>
      <c r="B167" s="16">
        <v>46010</v>
      </c>
      <c r="C167" s="14" t="s">
        <v>1456</v>
      </c>
      <c r="D167" s="14" t="s">
        <v>42</v>
      </c>
      <c r="E167" s="14">
        <v>355</v>
      </c>
      <c r="F167" s="15">
        <v>496.2</v>
      </c>
      <c r="G167" s="15">
        <v>176151</v>
      </c>
      <c r="H167" s="14" t="s">
        <v>1427</v>
      </c>
      <c r="I167" s="14" t="s">
        <v>1627</v>
      </c>
    </row>
    <row r="168" spans="1:9" ht="15" customHeight="1" x14ac:dyDescent="0.2">
      <c r="A168" s="14" t="s">
        <v>577</v>
      </c>
      <c r="B168" s="16">
        <v>45979</v>
      </c>
      <c r="C168" s="14" t="s">
        <v>1474</v>
      </c>
      <c r="D168" s="14" t="s">
        <v>47</v>
      </c>
      <c r="E168" s="14">
        <v>905</v>
      </c>
      <c r="F168" s="15">
        <v>470.93</v>
      </c>
      <c r="G168" s="15">
        <v>426191.65</v>
      </c>
      <c r="H168" s="14" t="s">
        <v>1427</v>
      </c>
      <c r="I168" s="14" t="s">
        <v>1628</v>
      </c>
    </row>
    <row r="169" spans="1:9" ht="15" customHeight="1" x14ac:dyDescent="0.2">
      <c r="A169" s="14" t="s">
        <v>580</v>
      </c>
      <c r="B169" s="16">
        <v>45992</v>
      </c>
      <c r="C169" s="14" t="s">
        <v>1468</v>
      </c>
      <c r="D169" s="14" t="s">
        <v>45</v>
      </c>
      <c r="E169" s="14">
        <v>429</v>
      </c>
      <c r="F169" s="15">
        <v>51.88</v>
      </c>
      <c r="G169" s="15">
        <v>22256.52</v>
      </c>
      <c r="H169" s="14" t="s">
        <v>1432</v>
      </c>
      <c r="I169" s="14" t="s">
        <v>1629</v>
      </c>
    </row>
    <row r="170" spans="1:9" ht="15" customHeight="1" x14ac:dyDescent="0.2">
      <c r="A170" s="14" t="s">
        <v>582</v>
      </c>
      <c r="B170" s="16">
        <v>46018</v>
      </c>
      <c r="C170" s="14" t="s">
        <v>1508</v>
      </c>
      <c r="D170" s="14" t="s">
        <v>45</v>
      </c>
      <c r="E170" s="14">
        <v>1581</v>
      </c>
      <c r="F170" s="15">
        <v>241.26</v>
      </c>
      <c r="G170" s="15">
        <v>381432.06</v>
      </c>
      <c r="H170" s="14" t="s">
        <v>1427</v>
      </c>
      <c r="I170" s="14" t="s">
        <v>1630</v>
      </c>
    </row>
    <row r="171" spans="1:9" ht="15" customHeight="1" x14ac:dyDescent="0.2">
      <c r="A171" s="14" t="s">
        <v>584</v>
      </c>
      <c r="B171" s="16">
        <v>46001</v>
      </c>
      <c r="C171" s="14" t="s">
        <v>1447</v>
      </c>
      <c r="D171" s="14" t="s">
        <v>46</v>
      </c>
      <c r="E171" s="14">
        <v>504</v>
      </c>
      <c r="F171" s="15">
        <v>147.5</v>
      </c>
      <c r="G171" s="15">
        <v>74340</v>
      </c>
      <c r="H171" s="14" t="s">
        <v>1427</v>
      </c>
      <c r="I171" s="14" t="s">
        <v>1631</v>
      </c>
    </row>
    <row r="172" spans="1:9" ht="15" customHeight="1" x14ac:dyDescent="0.2">
      <c r="A172" s="14" t="s">
        <v>586</v>
      </c>
      <c r="B172" s="16">
        <v>46019</v>
      </c>
      <c r="C172" s="14" t="s">
        <v>1454</v>
      </c>
      <c r="D172" s="14" t="s">
        <v>47</v>
      </c>
      <c r="E172" s="14">
        <v>805</v>
      </c>
      <c r="F172" s="15">
        <v>427.21</v>
      </c>
      <c r="G172" s="15">
        <v>343904.05</v>
      </c>
      <c r="H172" s="14" t="s">
        <v>1432</v>
      </c>
      <c r="I172" s="14" t="s">
        <v>1632</v>
      </c>
    </row>
    <row r="173" spans="1:9" ht="15" customHeight="1" x14ac:dyDescent="0.2">
      <c r="A173" s="14" t="s">
        <v>588</v>
      </c>
      <c r="B173" s="16">
        <v>46000</v>
      </c>
      <c r="C173" s="14" t="s">
        <v>1447</v>
      </c>
      <c r="D173" s="14" t="s">
        <v>45</v>
      </c>
      <c r="E173" s="14">
        <v>1265</v>
      </c>
      <c r="F173" s="15">
        <v>460.42</v>
      </c>
      <c r="G173" s="15">
        <v>582431.30000000005</v>
      </c>
      <c r="H173" s="14" t="s">
        <v>1427</v>
      </c>
      <c r="I173" s="14" t="s">
        <v>1633</v>
      </c>
    </row>
    <row r="174" spans="1:9" ht="15" customHeight="1" x14ac:dyDescent="0.2">
      <c r="A174" s="14" t="s">
        <v>591</v>
      </c>
      <c r="B174" s="16">
        <v>45985</v>
      </c>
      <c r="C174" s="14" t="s">
        <v>1452</v>
      </c>
      <c r="D174" s="14" t="s">
        <v>42</v>
      </c>
      <c r="E174" s="14">
        <v>792</v>
      </c>
      <c r="F174" s="15">
        <v>429.77</v>
      </c>
      <c r="G174" s="15">
        <v>340377.84</v>
      </c>
      <c r="H174" s="14" t="s">
        <v>1427</v>
      </c>
      <c r="I174" s="14" t="s">
        <v>1634</v>
      </c>
    </row>
    <row r="175" spans="1:9" ht="15" customHeight="1" x14ac:dyDescent="0.2">
      <c r="A175" s="14" t="s">
        <v>593</v>
      </c>
      <c r="B175" s="16">
        <v>46004</v>
      </c>
      <c r="C175" s="14" t="s">
        <v>1456</v>
      </c>
      <c r="D175" s="14" t="s">
        <v>39</v>
      </c>
      <c r="E175" s="14">
        <v>807</v>
      </c>
      <c r="F175" s="15">
        <v>465.7</v>
      </c>
      <c r="G175" s="15">
        <v>375819.9</v>
      </c>
      <c r="H175" s="14" t="s">
        <v>1432</v>
      </c>
      <c r="I175" s="14" t="s">
        <v>1635</v>
      </c>
    </row>
    <row r="176" spans="1:9" ht="15" customHeight="1" x14ac:dyDescent="0.2">
      <c r="A176" s="14" t="s">
        <v>600</v>
      </c>
      <c r="B176" s="16">
        <v>45975</v>
      </c>
      <c r="C176" s="14" t="s">
        <v>1468</v>
      </c>
      <c r="D176" s="14" t="s">
        <v>42</v>
      </c>
      <c r="E176" s="14">
        <v>1150</v>
      </c>
      <c r="F176" s="15">
        <v>304.49</v>
      </c>
      <c r="G176" s="15">
        <v>350163.5</v>
      </c>
      <c r="H176" s="14" t="s">
        <v>1432</v>
      </c>
      <c r="I176" s="14" t="s">
        <v>1636</v>
      </c>
    </row>
    <row r="177" spans="1:9" ht="15" customHeight="1" x14ac:dyDescent="0.2">
      <c r="A177" s="14" t="s">
        <v>602</v>
      </c>
      <c r="B177" s="16">
        <v>45966</v>
      </c>
      <c r="C177" s="14" t="s">
        <v>1458</v>
      </c>
      <c r="D177" s="14" t="s">
        <v>39</v>
      </c>
      <c r="E177" s="14">
        <v>1248</v>
      </c>
      <c r="F177" s="15">
        <v>281.89999999999998</v>
      </c>
      <c r="G177" s="15">
        <v>351811.2</v>
      </c>
      <c r="H177" s="14" t="s">
        <v>1432</v>
      </c>
      <c r="I177" s="14" t="s">
        <v>1637</v>
      </c>
    </row>
    <row r="178" spans="1:9" ht="15" customHeight="1" x14ac:dyDescent="0.2">
      <c r="A178" s="14" t="s">
        <v>606</v>
      </c>
      <c r="B178" s="16">
        <v>46007</v>
      </c>
      <c r="C178" s="14" t="s">
        <v>1456</v>
      </c>
      <c r="D178" s="14" t="s">
        <v>42</v>
      </c>
      <c r="E178" s="14">
        <v>1325</v>
      </c>
      <c r="F178" s="15">
        <v>25.19</v>
      </c>
      <c r="G178" s="15">
        <v>33376.75</v>
      </c>
      <c r="H178" s="14" t="s">
        <v>1427</v>
      </c>
      <c r="I178" s="14" t="s">
        <v>1638</v>
      </c>
    </row>
    <row r="179" spans="1:9" ht="15" customHeight="1" x14ac:dyDescent="0.2">
      <c r="A179" s="14" t="s">
        <v>608</v>
      </c>
      <c r="B179" s="16">
        <v>46003</v>
      </c>
      <c r="C179" s="14" t="s">
        <v>1456</v>
      </c>
      <c r="D179" s="14" t="s">
        <v>44</v>
      </c>
      <c r="E179" s="14">
        <v>101</v>
      </c>
      <c r="F179" s="15">
        <v>135.08000000000001</v>
      </c>
      <c r="G179" s="15">
        <v>13643.08</v>
      </c>
      <c r="H179" s="14" t="s">
        <v>1432</v>
      </c>
      <c r="I179" s="14" t="s">
        <v>1639</v>
      </c>
    </row>
    <row r="180" spans="1:9" ht="15" customHeight="1" x14ac:dyDescent="0.2">
      <c r="A180" s="14" t="s">
        <v>610</v>
      </c>
      <c r="B180" s="16">
        <v>45977</v>
      </c>
      <c r="C180" s="14" t="s">
        <v>1510</v>
      </c>
      <c r="D180" s="14" t="s">
        <v>47</v>
      </c>
      <c r="E180" s="14">
        <v>1252</v>
      </c>
      <c r="F180" s="15">
        <v>346.07</v>
      </c>
      <c r="G180" s="15">
        <v>433279.64</v>
      </c>
      <c r="H180" s="14" t="s">
        <v>1427</v>
      </c>
      <c r="I180" s="14" t="s">
        <v>1640</v>
      </c>
    </row>
    <row r="181" spans="1:9" ht="15" customHeight="1" x14ac:dyDescent="0.2">
      <c r="A181" s="14" t="s">
        <v>612</v>
      </c>
      <c r="B181" s="16">
        <v>46019</v>
      </c>
      <c r="C181" s="14" t="s">
        <v>1480</v>
      </c>
      <c r="D181" s="14" t="s">
        <v>36</v>
      </c>
      <c r="E181" s="14">
        <v>101</v>
      </c>
      <c r="F181" s="15">
        <v>148.61000000000001</v>
      </c>
      <c r="G181" s="15">
        <v>15009.61</v>
      </c>
      <c r="H181" s="14" t="s">
        <v>1432</v>
      </c>
      <c r="I181" s="14" t="s">
        <v>1641</v>
      </c>
    </row>
    <row r="182" spans="1:9" ht="15" customHeight="1" x14ac:dyDescent="0.2">
      <c r="A182" s="14" t="s">
        <v>616</v>
      </c>
      <c r="B182" s="16">
        <v>45996</v>
      </c>
      <c r="C182" s="14" t="s">
        <v>1449</v>
      </c>
      <c r="D182" s="14" t="s">
        <v>44</v>
      </c>
      <c r="E182" s="14">
        <v>777</v>
      </c>
      <c r="F182" s="15">
        <v>152.09</v>
      </c>
      <c r="G182" s="15">
        <v>118173.93</v>
      </c>
      <c r="H182" s="14" t="s">
        <v>1427</v>
      </c>
      <c r="I182" s="14" t="s">
        <v>1642</v>
      </c>
    </row>
    <row r="183" spans="1:9" ht="15" customHeight="1" x14ac:dyDescent="0.2">
      <c r="A183" s="14" t="s">
        <v>618</v>
      </c>
      <c r="B183" s="16">
        <v>45975</v>
      </c>
      <c r="C183" s="14" t="s">
        <v>1456</v>
      </c>
      <c r="D183" s="14" t="s">
        <v>42</v>
      </c>
      <c r="E183" s="14">
        <v>668</v>
      </c>
      <c r="F183" s="15">
        <v>11.59</v>
      </c>
      <c r="G183" s="15">
        <v>7742.12</v>
      </c>
      <c r="H183" s="14" t="s">
        <v>1427</v>
      </c>
      <c r="I183" s="14" t="s">
        <v>1643</v>
      </c>
    </row>
    <row r="184" spans="1:9" ht="15" customHeight="1" x14ac:dyDescent="0.2">
      <c r="A184" s="14" t="s">
        <v>621</v>
      </c>
      <c r="B184" s="16">
        <v>45981</v>
      </c>
      <c r="C184" s="14" t="s">
        <v>1449</v>
      </c>
      <c r="D184" s="14" t="s">
        <v>47</v>
      </c>
      <c r="E184" s="14">
        <v>1170</v>
      </c>
      <c r="F184" s="15">
        <v>398.07</v>
      </c>
      <c r="G184" s="15">
        <v>465741.9</v>
      </c>
      <c r="H184" s="14" t="s">
        <v>1432</v>
      </c>
      <c r="I184" s="14" t="s">
        <v>1644</v>
      </c>
    </row>
    <row r="185" spans="1:9" ht="15" customHeight="1" x14ac:dyDescent="0.2">
      <c r="A185" s="14" t="s">
        <v>623</v>
      </c>
      <c r="B185" s="16">
        <v>45993</v>
      </c>
      <c r="C185" s="14" t="s">
        <v>1510</v>
      </c>
      <c r="D185" s="14" t="s">
        <v>45</v>
      </c>
      <c r="E185" s="14">
        <v>819</v>
      </c>
      <c r="F185" s="15">
        <v>474.16</v>
      </c>
      <c r="G185" s="15">
        <v>388337.04</v>
      </c>
      <c r="H185" s="14" t="s">
        <v>1432</v>
      </c>
      <c r="I185" s="14" t="s">
        <v>1645</v>
      </c>
    </row>
    <row r="186" spans="1:9" ht="15" customHeight="1" x14ac:dyDescent="0.2">
      <c r="A186" s="14" t="s">
        <v>625</v>
      </c>
      <c r="B186" s="16">
        <v>45951</v>
      </c>
      <c r="C186" s="14" t="s">
        <v>1447</v>
      </c>
      <c r="D186" s="14" t="s">
        <v>42</v>
      </c>
      <c r="E186" s="14">
        <v>388</v>
      </c>
      <c r="F186" s="15">
        <v>45.3</v>
      </c>
      <c r="G186" s="15">
        <v>17576.400000000001</v>
      </c>
      <c r="H186" s="14" t="s">
        <v>1427</v>
      </c>
      <c r="I186" s="14" t="s">
        <v>1646</v>
      </c>
    </row>
    <row r="187" spans="1:9" ht="15" customHeight="1" x14ac:dyDescent="0.2">
      <c r="A187" s="14" t="s">
        <v>627</v>
      </c>
      <c r="B187" s="16">
        <v>45937</v>
      </c>
      <c r="C187" s="14" t="s">
        <v>1458</v>
      </c>
      <c r="D187" s="14" t="s">
        <v>42</v>
      </c>
      <c r="E187" s="14">
        <v>1662</v>
      </c>
      <c r="F187" s="15">
        <v>275.24</v>
      </c>
      <c r="G187" s="15">
        <v>457448.88</v>
      </c>
      <c r="H187" s="14" t="s">
        <v>1432</v>
      </c>
      <c r="I187" s="14" t="s">
        <v>1647</v>
      </c>
    </row>
    <row r="188" spans="1:9" ht="15" customHeight="1" x14ac:dyDescent="0.2">
      <c r="A188" s="14" t="s">
        <v>629</v>
      </c>
      <c r="B188" s="16">
        <v>45964</v>
      </c>
      <c r="C188" s="14" t="s">
        <v>1449</v>
      </c>
      <c r="D188" s="14" t="s">
        <v>44</v>
      </c>
      <c r="E188" s="14">
        <v>1064</v>
      </c>
      <c r="F188" s="15">
        <v>441.25</v>
      </c>
      <c r="G188" s="15">
        <v>469490</v>
      </c>
      <c r="H188" s="14" t="s">
        <v>1432</v>
      </c>
      <c r="I188" s="14" t="s">
        <v>1648</v>
      </c>
    </row>
    <row r="189" spans="1:9" ht="15" customHeight="1" x14ac:dyDescent="0.2">
      <c r="A189" s="14" t="s">
        <v>631</v>
      </c>
      <c r="B189" s="16">
        <v>45994</v>
      </c>
      <c r="C189" s="14" t="s">
        <v>1454</v>
      </c>
      <c r="D189" s="14" t="s">
        <v>42</v>
      </c>
      <c r="E189" s="14">
        <v>1277</v>
      </c>
      <c r="F189" s="15">
        <v>206.18</v>
      </c>
      <c r="G189" s="15">
        <v>263291.86</v>
      </c>
      <c r="H189" s="14" t="s">
        <v>1427</v>
      </c>
      <c r="I189" s="14" t="s">
        <v>1649</v>
      </c>
    </row>
    <row r="190" spans="1:9" ht="15" customHeight="1" x14ac:dyDescent="0.2">
      <c r="A190" s="14" t="s">
        <v>633</v>
      </c>
      <c r="B190" s="16">
        <v>45971</v>
      </c>
      <c r="C190" s="14" t="s">
        <v>1452</v>
      </c>
      <c r="D190" s="14" t="s">
        <v>46</v>
      </c>
      <c r="E190" s="14">
        <v>929</v>
      </c>
      <c r="F190" s="15">
        <v>56.38</v>
      </c>
      <c r="G190" s="15">
        <v>52377.02</v>
      </c>
      <c r="H190" s="14" t="s">
        <v>1432</v>
      </c>
      <c r="I190" s="14" t="s">
        <v>1650</v>
      </c>
    </row>
    <row r="191" spans="1:9" ht="15" customHeight="1" x14ac:dyDescent="0.2">
      <c r="A191" s="14" t="s">
        <v>636</v>
      </c>
      <c r="B191" s="16">
        <v>45945</v>
      </c>
      <c r="C191" s="14" t="s">
        <v>1478</v>
      </c>
      <c r="D191" s="14" t="s">
        <v>42</v>
      </c>
      <c r="E191" s="14">
        <v>1966</v>
      </c>
      <c r="F191" s="15">
        <v>193.83</v>
      </c>
      <c r="G191" s="15">
        <v>381069.78</v>
      </c>
      <c r="H191" s="14" t="s">
        <v>1427</v>
      </c>
      <c r="I191" s="14" t="s">
        <v>1651</v>
      </c>
    </row>
    <row r="192" spans="1:9" ht="15" customHeight="1" x14ac:dyDescent="0.2">
      <c r="A192" s="14" t="s">
        <v>638</v>
      </c>
      <c r="B192" s="16">
        <v>45972</v>
      </c>
      <c r="C192" s="14" t="s">
        <v>1474</v>
      </c>
      <c r="D192" s="14" t="s">
        <v>45</v>
      </c>
      <c r="E192" s="14">
        <v>1441</v>
      </c>
      <c r="F192" s="15">
        <v>190.36</v>
      </c>
      <c r="G192" s="15">
        <v>274308.76</v>
      </c>
      <c r="H192" s="14" t="s">
        <v>1432</v>
      </c>
      <c r="I192" s="14" t="s">
        <v>1652</v>
      </c>
    </row>
    <row r="193" spans="1:9" ht="15" customHeight="1" x14ac:dyDescent="0.2">
      <c r="A193" s="14" t="s">
        <v>640</v>
      </c>
      <c r="B193" s="16">
        <v>45989</v>
      </c>
      <c r="C193" s="14" t="s">
        <v>1456</v>
      </c>
      <c r="D193" s="14" t="s">
        <v>36</v>
      </c>
      <c r="E193" s="14">
        <v>479</v>
      </c>
      <c r="F193" s="15">
        <v>450.51</v>
      </c>
      <c r="G193" s="15">
        <v>215794.29</v>
      </c>
      <c r="H193" s="14" t="s">
        <v>1432</v>
      </c>
      <c r="I193" s="14" t="s">
        <v>1653</v>
      </c>
    </row>
    <row r="194" spans="1:9" ht="15" customHeight="1" x14ac:dyDescent="0.2">
      <c r="A194" s="14" t="s">
        <v>644</v>
      </c>
      <c r="B194" s="16">
        <v>45932</v>
      </c>
      <c r="C194" s="14" t="s">
        <v>1447</v>
      </c>
      <c r="D194" s="14" t="s">
        <v>36</v>
      </c>
      <c r="E194" s="14">
        <v>124</v>
      </c>
      <c r="F194" s="15">
        <v>216.64</v>
      </c>
      <c r="G194" s="15">
        <v>26863.360000000001</v>
      </c>
      <c r="H194" s="14" t="s">
        <v>1427</v>
      </c>
      <c r="I194" s="14" t="s">
        <v>1654</v>
      </c>
    </row>
    <row r="195" spans="1:9" ht="15" customHeight="1" x14ac:dyDescent="0.2">
      <c r="A195" s="14" t="s">
        <v>648</v>
      </c>
      <c r="B195" s="16">
        <v>45942</v>
      </c>
      <c r="C195" s="14" t="s">
        <v>1478</v>
      </c>
      <c r="D195" s="14" t="s">
        <v>44</v>
      </c>
      <c r="E195" s="14">
        <v>1546</v>
      </c>
      <c r="F195" s="15">
        <v>338.31</v>
      </c>
      <c r="G195" s="15">
        <v>523027.26</v>
      </c>
      <c r="H195" s="14" t="s">
        <v>1432</v>
      </c>
      <c r="I195" s="14" t="s">
        <v>1655</v>
      </c>
    </row>
    <row r="196" spans="1:9" ht="15" customHeight="1" x14ac:dyDescent="0.2">
      <c r="A196" s="14" t="s">
        <v>650</v>
      </c>
      <c r="B196" s="16">
        <v>45970</v>
      </c>
      <c r="C196" s="14" t="s">
        <v>1478</v>
      </c>
      <c r="D196" s="14" t="s">
        <v>36</v>
      </c>
      <c r="E196" s="14">
        <v>607</v>
      </c>
      <c r="F196" s="15">
        <v>398.95</v>
      </c>
      <c r="G196" s="15">
        <v>242162.65</v>
      </c>
      <c r="H196" s="14" t="s">
        <v>1432</v>
      </c>
      <c r="I196" s="14" t="s">
        <v>1656</v>
      </c>
    </row>
    <row r="197" spans="1:9" ht="15" customHeight="1" x14ac:dyDescent="0.2">
      <c r="A197" s="14" t="s">
        <v>654</v>
      </c>
      <c r="B197" s="16">
        <v>45952</v>
      </c>
      <c r="C197" s="14" t="s">
        <v>1474</v>
      </c>
      <c r="D197" s="14" t="s">
        <v>46</v>
      </c>
      <c r="E197" s="14">
        <v>877</v>
      </c>
      <c r="F197" s="15">
        <v>494.73</v>
      </c>
      <c r="G197" s="15">
        <v>433878.21</v>
      </c>
      <c r="H197" s="14" t="s">
        <v>1432</v>
      </c>
      <c r="I197" s="14" t="s">
        <v>1657</v>
      </c>
    </row>
    <row r="198" spans="1:9" ht="15" customHeight="1" x14ac:dyDescent="0.2">
      <c r="A198" s="14" t="s">
        <v>656</v>
      </c>
      <c r="B198" s="16">
        <v>45943</v>
      </c>
      <c r="C198" s="14" t="s">
        <v>1445</v>
      </c>
      <c r="D198" s="14" t="s">
        <v>36</v>
      </c>
      <c r="E198" s="14">
        <v>1306</v>
      </c>
      <c r="F198" s="15">
        <v>3.73</v>
      </c>
      <c r="G198" s="15">
        <v>4871.38</v>
      </c>
      <c r="H198" s="14" t="s">
        <v>1427</v>
      </c>
      <c r="I198" s="14" t="s">
        <v>1658</v>
      </c>
    </row>
    <row r="199" spans="1:9" ht="15" customHeight="1" x14ac:dyDescent="0.2">
      <c r="A199" s="14" t="s">
        <v>660</v>
      </c>
      <c r="B199" s="16">
        <v>45952</v>
      </c>
      <c r="C199" s="14" t="s">
        <v>1452</v>
      </c>
      <c r="D199" s="14" t="s">
        <v>44</v>
      </c>
      <c r="E199" s="14">
        <v>128</v>
      </c>
      <c r="F199" s="15">
        <v>277.82</v>
      </c>
      <c r="G199" s="15">
        <v>35560.959999999999</v>
      </c>
      <c r="H199" s="14" t="s">
        <v>1432</v>
      </c>
      <c r="I199" s="14" t="s">
        <v>1659</v>
      </c>
    </row>
    <row r="200" spans="1:9" ht="15" customHeight="1" x14ac:dyDescent="0.2">
      <c r="A200" s="14" t="s">
        <v>662</v>
      </c>
      <c r="B200" s="16">
        <v>45984</v>
      </c>
      <c r="C200" s="14" t="s">
        <v>1494</v>
      </c>
      <c r="D200" s="14" t="s">
        <v>47</v>
      </c>
      <c r="E200" s="14">
        <v>1942</v>
      </c>
      <c r="F200" s="15">
        <v>93.78</v>
      </c>
      <c r="G200" s="15">
        <v>182120.76</v>
      </c>
      <c r="H200" s="14" t="s">
        <v>1427</v>
      </c>
      <c r="I200" s="14" t="s">
        <v>1660</v>
      </c>
    </row>
    <row r="201" spans="1:9" ht="15" customHeight="1" x14ac:dyDescent="0.2">
      <c r="A201" s="14" t="s">
        <v>664</v>
      </c>
      <c r="B201" s="16">
        <v>45952</v>
      </c>
      <c r="C201" s="14" t="s">
        <v>1445</v>
      </c>
      <c r="D201" s="14" t="s">
        <v>44</v>
      </c>
      <c r="E201" s="14">
        <v>206</v>
      </c>
      <c r="F201" s="15">
        <v>462.35</v>
      </c>
      <c r="G201" s="15">
        <v>95244.1</v>
      </c>
      <c r="H201" s="14" t="s">
        <v>1427</v>
      </c>
      <c r="I201" s="14" t="s">
        <v>1661</v>
      </c>
    </row>
    <row r="202" spans="1:9" ht="15" customHeight="1" x14ac:dyDescent="0.2">
      <c r="A202" s="14" t="s">
        <v>666</v>
      </c>
      <c r="B202" s="16">
        <v>45946</v>
      </c>
      <c r="C202" s="14" t="s">
        <v>1452</v>
      </c>
      <c r="D202" s="14" t="s">
        <v>42</v>
      </c>
      <c r="E202" s="14">
        <v>1153</v>
      </c>
      <c r="F202" s="15">
        <v>99.24</v>
      </c>
      <c r="G202" s="15">
        <v>114423.72</v>
      </c>
      <c r="H202" s="14" t="s">
        <v>1432</v>
      </c>
      <c r="I202" s="14" t="s">
        <v>1662</v>
      </c>
    </row>
    <row r="203" spans="1:9" ht="15" customHeight="1" x14ac:dyDescent="0.2">
      <c r="A203" s="14" t="s">
        <v>668</v>
      </c>
      <c r="B203" s="16">
        <v>45980</v>
      </c>
      <c r="C203" s="14" t="s">
        <v>1480</v>
      </c>
      <c r="D203" s="14" t="s">
        <v>45</v>
      </c>
      <c r="E203" s="14">
        <v>987</v>
      </c>
      <c r="F203" s="15">
        <v>114.51</v>
      </c>
      <c r="G203" s="15">
        <v>113021.37</v>
      </c>
      <c r="H203" s="14" t="s">
        <v>1432</v>
      </c>
      <c r="I203" s="14" t="s">
        <v>1663</v>
      </c>
    </row>
    <row r="204" spans="1:9" ht="15" customHeight="1" x14ac:dyDescent="0.2">
      <c r="A204" s="14" t="s">
        <v>671</v>
      </c>
      <c r="B204" s="16">
        <v>45971</v>
      </c>
      <c r="C204" s="14" t="s">
        <v>1508</v>
      </c>
      <c r="D204" s="14" t="s">
        <v>36</v>
      </c>
      <c r="E204" s="14">
        <v>300</v>
      </c>
      <c r="F204" s="15">
        <v>458.79</v>
      </c>
      <c r="G204" s="15">
        <v>137637</v>
      </c>
      <c r="H204" s="14" t="s">
        <v>1427</v>
      </c>
      <c r="I204" s="14" t="s">
        <v>1664</v>
      </c>
    </row>
    <row r="205" spans="1:9" ht="15" customHeight="1" x14ac:dyDescent="0.2">
      <c r="A205" s="14" t="s">
        <v>675</v>
      </c>
      <c r="B205" s="16">
        <v>45976</v>
      </c>
      <c r="C205" s="14" t="s">
        <v>1510</v>
      </c>
      <c r="D205" s="14" t="s">
        <v>36</v>
      </c>
      <c r="E205" s="14">
        <v>506</v>
      </c>
      <c r="F205" s="15">
        <v>70.08</v>
      </c>
      <c r="G205" s="15">
        <v>35460.480000000003</v>
      </c>
      <c r="H205" s="14" t="s">
        <v>1432</v>
      </c>
      <c r="I205" s="14" t="s">
        <v>1665</v>
      </c>
    </row>
    <row r="206" spans="1:9" ht="15" customHeight="1" x14ac:dyDescent="0.2">
      <c r="A206" s="14" t="s">
        <v>682</v>
      </c>
      <c r="B206" s="16">
        <v>46003</v>
      </c>
      <c r="C206" s="14" t="s">
        <v>1474</v>
      </c>
      <c r="D206" s="14" t="s">
        <v>39</v>
      </c>
      <c r="E206" s="14">
        <v>65</v>
      </c>
      <c r="F206" s="15">
        <v>336.99</v>
      </c>
      <c r="G206" s="15">
        <v>21904.35</v>
      </c>
      <c r="H206" s="14" t="s">
        <v>1427</v>
      </c>
      <c r="I206" s="14" t="s">
        <v>1666</v>
      </c>
    </row>
    <row r="207" spans="1:9" ht="15" customHeight="1" x14ac:dyDescent="0.2">
      <c r="A207" s="14" t="s">
        <v>686</v>
      </c>
      <c r="B207" s="16">
        <v>46006</v>
      </c>
      <c r="C207" s="14" t="s">
        <v>1454</v>
      </c>
      <c r="D207" s="14" t="s">
        <v>46</v>
      </c>
      <c r="E207" s="14">
        <v>1693</v>
      </c>
      <c r="F207" s="15">
        <v>370.38</v>
      </c>
      <c r="G207" s="15">
        <v>627053.34</v>
      </c>
      <c r="H207" s="14" t="s">
        <v>1432</v>
      </c>
      <c r="I207" s="14" t="s">
        <v>1667</v>
      </c>
    </row>
    <row r="208" spans="1:9" ht="15" customHeight="1" x14ac:dyDescent="0.2">
      <c r="A208" s="14" t="s">
        <v>688</v>
      </c>
      <c r="B208" s="16">
        <v>46019</v>
      </c>
      <c r="C208" s="14" t="s">
        <v>1474</v>
      </c>
      <c r="D208" s="14" t="s">
        <v>46</v>
      </c>
      <c r="E208" s="14">
        <v>1619</v>
      </c>
      <c r="F208" s="15">
        <v>255.08</v>
      </c>
      <c r="G208" s="15">
        <v>412974.52</v>
      </c>
      <c r="H208" s="14" t="s">
        <v>1432</v>
      </c>
      <c r="I208" s="14" t="s">
        <v>1668</v>
      </c>
    </row>
    <row r="209" spans="1:9" ht="15" customHeight="1" x14ac:dyDescent="0.2">
      <c r="A209" s="14" t="s">
        <v>690</v>
      </c>
      <c r="B209" s="16">
        <v>45969</v>
      </c>
      <c r="C209" s="14" t="s">
        <v>1445</v>
      </c>
      <c r="D209" s="14" t="s">
        <v>39</v>
      </c>
      <c r="E209" s="14">
        <v>1979</v>
      </c>
      <c r="F209" s="15">
        <v>241.59</v>
      </c>
      <c r="G209" s="15">
        <v>478106.61</v>
      </c>
      <c r="H209" s="14" t="s">
        <v>1427</v>
      </c>
      <c r="I209" s="14" t="s">
        <v>1669</v>
      </c>
    </row>
    <row r="210" spans="1:9" ht="15" customHeight="1" x14ac:dyDescent="0.2">
      <c r="A210" s="14" t="s">
        <v>694</v>
      </c>
      <c r="B210" s="16">
        <v>45949</v>
      </c>
      <c r="C210" s="14" t="s">
        <v>1478</v>
      </c>
      <c r="D210" s="14" t="s">
        <v>45</v>
      </c>
      <c r="E210" s="14">
        <v>1595</v>
      </c>
      <c r="F210" s="15">
        <v>353.71</v>
      </c>
      <c r="G210" s="15">
        <v>564167.44999999995</v>
      </c>
      <c r="H210" s="14" t="s">
        <v>1432</v>
      </c>
      <c r="I210" s="14" t="s">
        <v>1670</v>
      </c>
    </row>
    <row r="211" spans="1:9" ht="15" customHeight="1" x14ac:dyDescent="0.2">
      <c r="A211" s="14" t="s">
        <v>696</v>
      </c>
      <c r="B211" s="16">
        <v>46019</v>
      </c>
      <c r="C211" s="14" t="s">
        <v>1478</v>
      </c>
      <c r="D211" s="14" t="s">
        <v>36</v>
      </c>
      <c r="E211" s="14">
        <v>471</v>
      </c>
      <c r="F211" s="15">
        <v>456.28</v>
      </c>
      <c r="G211" s="15">
        <v>214907.88</v>
      </c>
      <c r="H211" s="14" t="s">
        <v>1432</v>
      </c>
      <c r="I211" s="14" t="s">
        <v>1671</v>
      </c>
    </row>
    <row r="212" spans="1:9" ht="15" customHeight="1" x14ac:dyDescent="0.2">
      <c r="A212" s="14" t="s">
        <v>700</v>
      </c>
      <c r="B212" s="16">
        <v>46009</v>
      </c>
      <c r="C212" s="14" t="s">
        <v>1468</v>
      </c>
      <c r="D212" s="14" t="s">
        <v>42</v>
      </c>
      <c r="E212" s="14">
        <v>1322</v>
      </c>
      <c r="F212" s="15">
        <v>48.98</v>
      </c>
      <c r="G212" s="15">
        <v>64751.56</v>
      </c>
      <c r="H212" s="14" t="s">
        <v>1432</v>
      </c>
      <c r="I212" s="14" t="s">
        <v>1672</v>
      </c>
    </row>
    <row r="213" spans="1:9" ht="15" customHeight="1" x14ac:dyDescent="0.2">
      <c r="A213" s="14" t="s">
        <v>702</v>
      </c>
      <c r="B213" s="16">
        <v>45949</v>
      </c>
      <c r="C213" s="14" t="s">
        <v>1458</v>
      </c>
      <c r="D213" s="14" t="s">
        <v>42</v>
      </c>
      <c r="E213" s="14">
        <v>560</v>
      </c>
      <c r="F213" s="15">
        <v>435.7</v>
      </c>
      <c r="G213" s="15">
        <v>243992</v>
      </c>
      <c r="H213" s="14" t="s">
        <v>1432</v>
      </c>
      <c r="I213" s="14" t="s">
        <v>1673</v>
      </c>
    </row>
    <row r="214" spans="1:9" ht="15" customHeight="1" x14ac:dyDescent="0.2">
      <c r="A214" s="14" t="s">
        <v>704</v>
      </c>
      <c r="B214" s="16">
        <v>46011</v>
      </c>
      <c r="C214" s="14" t="s">
        <v>1445</v>
      </c>
      <c r="D214" s="14" t="s">
        <v>47</v>
      </c>
      <c r="E214" s="14">
        <v>921</v>
      </c>
      <c r="F214" s="15">
        <v>376.23</v>
      </c>
      <c r="G214" s="15">
        <v>346507.83</v>
      </c>
      <c r="H214" s="14" t="s">
        <v>1427</v>
      </c>
      <c r="I214" s="14" t="s">
        <v>1674</v>
      </c>
    </row>
    <row r="215" spans="1:9" ht="15" customHeight="1" x14ac:dyDescent="0.2">
      <c r="A215" s="14" t="s">
        <v>707</v>
      </c>
      <c r="B215" s="16">
        <v>45938</v>
      </c>
      <c r="C215" s="14" t="s">
        <v>1452</v>
      </c>
      <c r="D215" s="14" t="s">
        <v>45</v>
      </c>
      <c r="E215" s="14">
        <v>1692</v>
      </c>
      <c r="F215" s="15">
        <v>362.24</v>
      </c>
      <c r="G215" s="15">
        <v>612910.07999999996</v>
      </c>
      <c r="H215" s="14" t="s">
        <v>1427</v>
      </c>
      <c r="I215" s="14" t="s">
        <v>1675</v>
      </c>
    </row>
    <row r="216" spans="1:9" ht="15" customHeight="1" x14ac:dyDescent="0.2">
      <c r="A216" s="14" t="s">
        <v>709</v>
      </c>
      <c r="B216" s="16">
        <v>46003</v>
      </c>
      <c r="C216" s="14" t="s">
        <v>1447</v>
      </c>
      <c r="D216" s="14" t="s">
        <v>36</v>
      </c>
      <c r="E216" s="14">
        <v>292</v>
      </c>
      <c r="F216" s="15">
        <v>407</v>
      </c>
      <c r="G216" s="15">
        <v>118844</v>
      </c>
      <c r="H216" s="14" t="s">
        <v>1427</v>
      </c>
      <c r="I216" s="14" t="s">
        <v>1676</v>
      </c>
    </row>
    <row r="217" spans="1:9" ht="15" customHeight="1" x14ac:dyDescent="0.2">
      <c r="A217" s="14" t="s">
        <v>713</v>
      </c>
      <c r="B217" s="16">
        <v>45962</v>
      </c>
      <c r="C217" s="14" t="s">
        <v>1508</v>
      </c>
      <c r="D217" s="14" t="s">
        <v>45</v>
      </c>
      <c r="E217" s="14">
        <v>315</v>
      </c>
      <c r="F217" s="15">
        <v>226.21</v>
      </c>
      <c r="G217" s="15">
        <v>71256.149999999994</v>
      </c>
      <c r="H217" s="14" t="s">
        <v>1432</v>
      </c>
      <c r="I217" s="14" t="s">
        <v>1677</v>
      </c>
    </row>
    <row r="218" spans="1:9" ht="15" customHeight="1" x14ac:dyDescent="0.2">
      <c r="A218" s="14" t="s">
        <v>715</v>
      </c>
      <c r="B218" s="16">
        <v>45973</v>
      </c>
      <c r="C218" s="14" t="s">
        <v>1478</v>
      </c>
      <c r="D218" s="14" t="s">
        <v>39</v>
      </c>
      <c r="E218" s="14">
        <v>1455</v>
      </c>
      <c r="F218" s="15">
        <v>102.68</v>
      </c>
      <c r="G218" s="15">
        <v>149399.4</v>
      </c>
      <c r="H218" s="14" t="s">
        <v>1432</v>
      </c>
      <c r="I218" s="14" t="s">
        <v>1678</v>
      </c>
    </row>
    <row r="219" spans="1:9" ht="15" customHeight="1" x14ac:dyDescent="0.2">
      <c r="A219" s="14" t="s">
        <v>722</v>
      </c>
      <c r="B219" s="16">
        <v>45940</v>
      </c>
      <c r="C219" s="14" t="s">
        <v>1454</v>
      </c>
      <c r="D219" s="14" t="s">
        <v>47</v>
      </c>
      <c r="E219" s="14">
        <v>1680</v>
      </c>
      <c r="F219" s="15">
        <v>482.95</v>
      </c>
      <c r="G219" s="15">
        <v>811356</v>
      </c>
      <c r="H219" s="14" t="s">
        <v>1432</v>
      </c>
      <c r="I219" s="14" t="s">
        <v>1679</v>
      </c>
    </row>
    <row r="220" spans="1:9" ht="15" customHeight="1" x14ac:dyDescent="0.2">
      <c r="A220" s="14" t="s">
        <v>724</v>
      </c>
      <c r="B220" s="16">
        <v>45965</v>
      </c>
      <c r="C220" s="14" t="s">
        <v>1449</v>
      </c>
      <c r="D220" s="14" t="s">
        <v>46</v>
      </c>
      <c r="E220" s="14">
        <v>1687</v>
      </c>
      <c r="F220" s="15">
        <v>6.05</v>
      </c>
      <c r="G220" s="15">
        <v>10206.35</v>
      </c>
      <c r="H220" s="14" t="s">
        <v>1427</v>
      </c>
      <c r="I220" s="14" t="s">
        <v>1680</v>
      </c>
    </row>
    <row r="221" spans="1:9" ht="15" customHeight="1" x14ac:dyDescent="0.2">
      <c r="A221" s="14" t="s">
        <v>726</v>
      </c>
      <c r="B221" s="16">
        <v>46013</v>
      </c>
      <c r="C221" s="14" t="s">
        <v>1456</v>
      </c>
      <c r="D221" s="14" t="s">
        <v>36</v>
      </c>
      <c r="E221" s="14">
        <v>1599</v>
      </c>
      <c r="F221" s="15">
        <v>406.41</v>
      </c>
      <c r="G221" s="15">
        <v>649849.59</v>
      </c>
      <c r="H221" s="14" t="s">
        <v>1432</v>
      </c>
      <c r="I221" s="14" t="s">
        <v>1681</v>
      </c>
    </row>
    <row r="222" spans="1:9" ht="15" customHeight="1" x14ac:dyDescent="0.2">
      <c r="A222" s="14" t="s">
        <v>728</v>
      </c>
      <c r="B222" s="16">
        <v>46011</v>
      </c>
      <c r="C222" s="14" t="s">
        <v>1445</v>
      </c>
      <c r="D222" s="14" t="s">
        <v>36</v>
      </c>
      <c r="E222" s="14">
        <v>1261</v>
      </c>
      <c r="F222" s="15">
        <v>23.75</v>
      </c>
      <c r="G222" s="15">
        <v>29948.75</v>
      </c>
      <c r="H222" s="14" t="s">
        <v>1432</v>
      </c>
      <c r="I222" s="14" t="s">
        <v>1682</v>
      </c>
    </row>
    <row r="223" spans="1:9" ht="15" customHeight="1" x14ac:dyDescent="0.2">
      <c r="A223" s="14" t="s">
        <v>731</v>
      </c>
      <c r="B223" s="16">
        <v>45939</v>
      </c>
      <c r="C223" s="14" t="s">
        <v>1478</v>
      </c>
      <c r="D223" s="14" t="s">
        <v>47</v>
      </c>
      <c r="E223" s="14">
        <v>1553</v>
      </c>
      <c r="F223" s="15">
        <v>112.31</v>
      </c>
      <c r="G223" s="15">
        <v>174417.43</v>
      </c>
      <c r="H223" s="14" t="s">
        <v>1427</v>
      </c>
      <c r="I223" s="14" t="s">
        <v>1683</v>
      </c>
    </row>
    <row r="224" spans="1:9" ht="15" customHeight="1" x14ac:dyDescent="0.2">
      <c r="A224" s="14" t="s">
        <v>733</v>
      </c>
      <c r="B224" s="16">
        <v>45987</v>
      </c>
      <c r="C224" s="14" t="s">
        <v>1508</v>
      </c>
      <c r="D224" s="14" t="s">
        <v>36</v>
      </c>
      <c r="E224" s="14">
        <v>315</v>
      </c>
      <c r="F224" s="15">
        <v>373.63</v>
      </c>
      <c r="G224" s="15">
        <v>117693.45</v>
      </c>
      <c r="H224" s="14" t="s">
        <v>1432</v>
      </c>
      <c r="I224" s="14" t="s">
        <v>1684</v>
      </c>
    </row>
    <row r="225" spans="1:9" ht="15" customHeight="1" x14ac:dyDescent="0.2">
      <c r="A225" s="14" t="s">
        <v>735</v>
      </c>
      <c r="B225" s="16">
        <v>46016</v>
      </c>
      <c r="C225" s="14" t="s">
        <v>1474</v>
      </c>
      <c r="D225" s="14" t="s">
        <v>46</v>
      </c>
      <c r="E225" s="14">
        <v>1758</v>
      </c>
      <c r="F225" s="15">
        <v>313.81</v>
      </c>
      <c r="G225" s="15">
        <v>551677.98</v>
      </c>
      <c r="H225" s="14" t="s">
        <v>1427</v>
      </c>
      <c r="I225" s="14" t="s">
        <v>1685</v>
      </c>
    </row>
    <row r="226" spans="1:9" ht="15" customHeight="1" x14ac:dyDescent="0.2">
      <c r="A226" s="14" t="s">
        <v>737</v>
      </c>
      <c r="B226" s="16">
        <v>45942</v>
      </c>
      <c r="C226" s="14" t="s">
        <v>1466</v>
      </c>
      <c r="D226" s="14" t="s">
        <v>36</v>
      </c>
      <c r="E226" s="14">
        <v>1979</v>
      </c>
      <c r="F226" s="15">
        <v>62.29</v>
      </c>
      <c r="G226" s="15">
        <v>123271.91</v>
      </c>
      <c r="H226" s="14" t="s">
        <v>1427</v>
      </c>
      <c r="I226" s="14" t="s">
        <v>1686</v>
      </c>
    </row>
    <row r="227" spans="1:9" ht="15" customHeight="1" x14ac:dyDescent="0.2">
      <c r="A227" s="14" t="s">
        <v>739</v>
      </c>
      <c r="B227" s="16">
        <v>46001</v>
      </c>
      <c r="C227" s="14" t="s">
        <v>1508</v>
      </c>
      <c r="D227" s="14" t="s">
        <v>36</v>
      </c>
      <c r="E227" s="14">
        <v>173</v>
      </c>
      <c r="F227" s="15">
        <v>332.4</v>
      </c>
      <c r="G227" s="15">
        <v>57505.2</v>
      </c>
      <c r="H227" s="14" t="s">
        <v>1427</v>
      </c>
      <c r="I227" s="14" t="s">
        <v>1687</v>
      </c>
    </row>
    <row r="228" spans="1:9" ht="15" customHeight="1" x14ac:dyDescent="0.2">
      <c r="A228" s="14" t="s">
        <v>741</v>
      </c>
      <c r="B228" s="16">
        <v>45982</v>
      </c>
      <c r="C228" s="14" t="s">
        <v>1445</v>
      </c>
      <c r="D228" s="14" t="s">
        <v>47</v>
      </c>
      <c r="E228" s="14">
        <v>970</v>
      </c>
      <c r="F228" s="15">
        <v>69.14</v>
      </c>
      <c r="G228" s="15">
        <v>67065.8</v>
      </c>
      <c r="H228" s="14" t="s">
        <v>1432</v>
      </c>
      <c r="I228" s="14" t="s">
        <v>1688</v>
      </c>
    </row>
    <row r="229" spans="1:9" ht="15" customHeight="1" x14ac:dyDescent="0.2">
      <c r="A229" s="14" t="s">
        <v>743</v>
      </c>
      <c r="B229" s="16">
        <v>45935</v>
      </c>
      <c r="C229" s="14" t="s">
        <v>1447</v>
      </c>
      <c r="D229" s="14" t="s">
        <v>45</v>
      </c>
      <c r="E229" s="14">
        <v>1414</v>
      </c>
      <c r="F229" s="15">
        <v>210.69</v>
      </c>
      <c r="G229" s="15">
        <v>297915.65999999997</v>
      </c>
      <c r="H229" s="14" t="s">
        <v>1432</v>
      </c>
      <c r="I229" s="14" t="s">
        <v>1689</v>
      </c>
    </row>
    <row r="230" spans="1:9" ht="15" customHeight="1" x14ac:dyDescent="0.2">
      <c r="A230" s="14" t="s">
        <v>745</v>
      </c>
      <c r="B230" s="16">
        <v>45952</v>
      </c>
      <c r="C230" s="14" t="s">
        <v>1454</v>
      </c>
      <c r="D230" s="14" t="s">
        <v>44</v>
      </c>
      <c r="E230" s="14">
        <v>1110</v>
      </c>
      <c r="F230" s="15">
        <v>280.86</v>
      </c>
      <c r="G230" s="15">
        <v>311754.59999999998</v>
      </c>
      <c r="H230" s="14" t="s">
        <v>1432</v>
      </c>
      <c r="I230" s="14" t="s">
        <v>1690</v>
      </c>
    </row>
    <row r="231" spans="1:9" ht="15" customHeight="1" x14ac:dyDescent="0.2">
      <c r="A231" s="14" t="s">
        <v>748</v>
      </c>
      <c r="B231" s="16">
        <v>45958</v>
      </c>
      <c r="C231" s="14" t="s">
        <v>1474</v>
      </c>
      <c r="D231" s="14" t="s">
        <v>39</v>
      </c>
      <c r="E231" s="14">
        <v>207</v>
      </c>
      <c r="F231" s="15">
        <v>129.05000000000001</v>
      </c>
      <c r="G231" s="15">
        <v>26713.35</v>
      </c>
      <c r="H231" s="14" t="s">
        <v>1432</v>
      </c>
      <c r="I231" s="14" t="s">
        <v>1691</v>
      </c>
    </row>
    <row r="232" spans="1:9" ht="15" customHeight="1" x14ac:dyDescent="0.2">
      <c r="A232" s="14" t="s">
        <v>752</v>
      </c>
      <c r="B232" s="16">
        <v>45940</v>
      </c>
      <c r="C232" s="14" t="s">
        <v>1474</v>
      </c>
      <c r="D232" s="14" t="s">
        <v>42</v>
      </c>
      <c r="E232" s="14">
        <v>1953</v>
      </c>
      <c r="F232" s="15">
        <v>259.51</v>
      </c>
      <c r="G232" s="15">
        <v>506823.03</v>
      </c>
      <c r="H232" s="14" t="s">
        <v>1427</v>
      </c>
      <c r="I232" s="14" t="s">
        <v>1692</v>
      </c>
    </row>
    <row r="233" spans="1:9" ht="15" customHeight="1" x14ac:dyDescent="0.2">
      <c r="A233" s="14" t="s">
        <v>754</v>
      </c>
      <c r="B233" s="16">
        <v>45966</v>
      </c>
      <c r="C233" s="14" t="s">
        <v>1458</v>
      </c>
      <c r="D233" s="14" t="s">
        <v>42</v>
      </c>
      <c r="E233" s="14">
        <v>1355</v>
      </c>
      <c r="F233" s="15">
        <v>343.72</v>
      </c>
      <c r="G233" s="15">
        <v>465740.6</v>
      </c>
      <c r="H233" s="14" t="s">
        <v>1427</v>
      </c>
      <c r="I233" s="14" t="s">
        <v>1693</v>
      </c>
    </row>
    <row r="234" spans="1:9" ht="15" customHeight="1" x14ac:dyDescent="0.2">
      <c r="A234" s="14" t="s">
        <v>1694</v>
      </c>
      <c r="B234" s="16">
        <v>46011</v>
      </c>
      <c r="C234" s="14" t="s">
        <v>1449</v>
      </c>
      <c r="D234" s="14" t="s">
        <v>45</v>
      </c>
      <c r="E234" s="14">
        <v>306</v>
      </c>
      <c r="F234" s="15">
        <v>202.21</v>
      </c>
      <c r="G234" s="15">
        <v>61876.26</v>
      </c>
      <c r="H234" s="14" t="s">
        <v>1427</v>
      </c>
      <c r="I234" s="14" t="s">
        <v>1695</v>
      </c>
    </row>
    <row r="235" spans="1:9" ht="15" customHeight="1" x14ac:dyDescent="0.2">
      <c r="A235" s="14" t="s">
        <v>756</v>
      </c>
      <c r="B235" s="16">
        <v>45962</v>
      </c>
      <c r="C235" s="14" t="s">
        <v>1454</v>
      </c>
      <c r="D235" s="14" t="s">
        <v>39</v>
      </c>
      <c r="E235" s="14">
        <v>1441</v>
      </c>
      <c r="F235" s="15">
        <v>161.69</v>
      </c>
      <c r="G235" s="15">
        <v>232995.29</v>
      </c>
      <c r="H235" s="14" t="s">
        <v>1427</v>
      </c>
      <c r="I235" s="14" t="s">
        <v>1696</v>
      </c>
    </row>
    <row r="236" spans="1:9" ht="15" customHeight="1" x14ac:dyDescent="0.2">
      <c r="A236" s="14" t="s">
        <v>760</v>
      </c>
      <c r="B236" s="16">
        <v>45955</v>
      </c>
      <c r="C236" s="14" t="s">
        <v>1474</v>
      </c>
      <c r="D236" s="14" t="s">
        <v>46</v>
      </c>
      <c r="E236" s="14">
        <v>515</v>
      </c>
      <c r="F236" s="15">
        <v>446.64</v>
      </c>
      <c r="G236" s="15">
        <v>230019.6</v>
      </c>
      <c r="H236" s="14" t="s">
        <v>1432</v>
      </c>
      <c r="I236" s="14" t="s">
        <v>1697</v>
      </c>
    </row>
    <row r="237" spans="1:9" ht="15" customHeight="1" x14ac:dyDescent="0.2">
      <c r="A237" s="14" t="s">
        <v>762</v>
      </c>
      <c r="B237" s="16">
        <v>45976</v>
      </c>
      <c r="C237" s="14" t="s">
        <v>1456</v>
      </c>
      <c r="D237" s="14" t="s">
        <v>44</v>
      </c>
      <c r="E237" s="14">
        <v>1932</v>
      </c>
      <c r="F237" s="15">
        <v>445.86</v>
      </c>
      <c r="G237" s="15">
        <v>861401.52</v>
      </c>
      <c r="H237" s="14" t="s">
        <v>1432</v>
      </c>
      <c r="I237" s="14" t="s">
        <v>1698</v>
      </c>
    </row>
    <row r="238" spans="1:9" ht="15" customHeight="1" x14ac:dyDescent="0.2">
      <c r="A238" s="14" t="s">
        <v>764</v>
      </c>
      <c r="B238" s="16">
        <v>45992</v>
      </c>
      <c r="C238" s="14" t="s">
        <v>1478</v>
      </c>
      <c r="D238" s="14" t="s">
        <v>39</v>
      </c>
      <c r="E238" s="14">
        <v>23</v>
      </c>
      <c r="F238" s="15">
        <v>275.98</v>
      </c>
      <c r="G238" s="15">
        <v>6347.54</v>
      </c>
      <c r="H238" s="14" t="s">
        <v>1427</v>
      </c>
      <c r="I238" s="14" t="s">
        <v>1699</v>
      </c>
    </row>
    <row r="239" spans="1:9" ht="15" customHeight="1" x14ac:dyDescent="0.2">
      <c r="A239" s="14" t="s">
        <v>1700</v>
      </c>
      <c r="B239" s="16">
        <v>46009</v>
      </c>
      <c r="C239" s="14" t="s">
        <v>1494</v>
      </c>
      <c r="D239" s="14" t="s">
        <v>36</v>
      </c>
      <c r="E239" s="14">
        <v>784</v>
      </c>
      <c r="F239" s="15">
        <v>90.64</v>
      </c>
      <c r="G239" s="15">
        <v>71061.759999999995</v>
      </c>
      <c r="H239" s="14" t="s">
        <v>1432</v>
      </c>
      <c r="I239" s="14" t="s">
        <v>1701</v>
      </c>
    </row>
    <row r="240" spans="1:9" ht="15" customHeight="1" x14ac:dyDescent="0.2">
      <c r="A240" s="14" t="s">
        <v>768</v>
      </c>
      <c r="B240" s="16">
        <v>46008</v>
      </c>
      <c r="C240" s="14" t="s">
        <v>1452</v>
      </c>
      <c r="D240" s="14" t="s">
        <v>39</v>
      </c>
      <c r="E240" s="14">
        <v>1174</v>
      </c>
      <c r="F240" s="15">
        <v>182.58</v>
      </c>
      <c r="G240" s="15">
        <v>214348.92</v>
      </c>
      <c r="H240" s="14" t="s">
        <v>1432</v>
      </c>
      <c r="I240" s="14" t="s">
        <v>1702</v>
      </c>
    </row>
    <row r="241" spans="1:9" ht="15" customHeight="1" x14ac:dyDescent="0.2">
      <c r="A241" s="14" t="s">
        <v>772</v>
      </c>
      <c r="B241" s="16">
        <v>46001</v>
      </c>
      <c r="C241" s="14" t="s">
        <v>1445</v>
      </c>
      <c r="D241" s="14" t="s">
        <v>44</v>
      </c>
      <c r="E241" s="14">
        <v>135</v>
      </c>
      <c r="F241" s="15">
        <v>499.43</v>
      </c>
      <c r="G241" s="15">
        <v>67423.05</v>
      </c>
      <c r="H241" s="14" t="s">
        <v>1432</v>
      </c>
      <c r="I241" s="14" t="s">
        <v>1703</v>
      </c>
    </row>
    <row r="242" spans="1:9" ht="15" customHeight="1" x14ac:dyDescent="0.2">
      <c r="A242" s="14" t="s">
        <v>774</v>
      </c>
      <c r="B242" s="16">
        <v>45999</v>
      </c>
      <c r="C242" s="14" t="s">
        <v>1494</v>
      </c>
      <c r="D242" s="14" t="s">
        <v>36</v>
      </c>
      <c r="E242" s="14">
        <v>427</v>
      </c>
      <c r="F242" s="15">
        <v>422.61</v>
      </c>
      <c r="G242" s="15">
        <v>180454.47</v>
      </c>
      <c r="H242" s="14" t="s">
        <v>1427</v>
      </c>
      <c r="I242" s="14" t="s">
        <v>1704</v>
      </c>
    </row>
    <row r="243" spans="1:9" ht="15" customHeight="1" x14ac:dyDescent="0.2">
      <c r="A243" s="14" t="s">
        <v>776</v>
      </c>
      <c r="B243" s="16">
        <v>45957</v>
      </c>
      <c r="C243" s="14" t="s">
        <v>1466</v>
      </c>
      <c r="D243" s="14" t="s">
        <v>45</v>
      </c>
      <c r="E243" s="14">
        <v>448</v>
      </c>
      <c r="F243" s="15">
        <v>281.45999999999998</v>
      </c>
      <c r="G243" s="15">
        <v>126094.08</v>
      </c>
      <c r="H243" s="14" t="s">
        <v>1432</v>
      </c>
      <c r="I243" s="14" t="s">
        <v>1705</v>
      </c>
    </row>
    <row r="244" spans="1:9" ht="15" customHeight="1" x14ac:dyDescent="0.2">
      <c r="A244" s="14" t="s">
        <v>778</v>
      </c>
      <c r="B244" s="16">
        <v>45986</v>
      </c>
      <c r="C244" s="14" t="s">
        <v>1468</v>
      </c>
      <c r="D244" s="14" t="s">
        <v>39</v>
      </c>
      <c r="E244" s="14">
        <v>286</v>
      </c>
      <c r="F244" s="15">
        <v>198.1</v>
      </c>
      <c r="G244" s="15">
        <v>56656.6</v>
      </c>
      <c r="H244" s="14" t="s">
        <v>1427</v>
      </c>
      <c r="I244" s="14" t="s">
        <v>1706</v>
      </c>
    </row>
    <row r="245" spans="1:9" ht="15" customHeight="1" x14ac:dyDescent="0.2">
      <c r="A245" s="14" t="s">
        <v>782</v>
      </c>
      <c r="B245" s="16">
        <v>45932</v>
      </c>
      <c r="C245" s="14" t="s">
        <v>1454</v>
      </c>
      <c r="D245" s="14" t="s">
        <v>42</v>
      </c>
      <c r="E245" s="14">
        <v>1441</v>
      </c>
      <c r="F245" s="15">
        <v>230.63</v>
      </c>
      <c r="G245" s="15">
        <v>332337.83</v>
      </c>
      <c r="H245" s="14" t="s">
        <v>1432</v>
      </c>
      <c r="I245" s="14" t="s">
        <v>1707</v>
      </c>
    </row>
    <row r="246" spans="1:9" ht="15" customHeight="1" x14ac:dyDescent="0.2">
      <c r="A246" s="14" t="s">
        <v>784</v>
      </c>
      <c r="B246" s="16">
        <v>45948</v>
      </c>
      <c r="C246" s="14" t="s">
        <v>1474</v>
      </c>
      <c r="D246" s="14" t="s">
        <v>42</v>
      </c>
      <c r="E246" s="14">
        <v>229</v>
      </c>
      <c r="F246" s="15">
        <v>495.81</v>
      </c>
      <c r="G246" s="15">
        <v>113540.49</v>
      </c>
      <c r="H246" s="14" t="s">
        <v>1427</v>
      </c>
      <c r="I246" s="14" t="s">
        <v>1708</v>
      </c>
    </row>
    <row r="247" spans="1:9" ht="15" customHeight="1" x14ac:dyDescent="0.2">
      <c r="A247" s="14" t="s">
        <v>786</v>
      </c>
      <c r="B247" s="16">
        <v>45946</v>
      </c>
      <c r="C247" s="14" t="s">
        <v>1474</v>
      </c>
      <c r="D247" s="14" t="s">
        <v>45</v>
      </c>
      <c r="E247" s="14">
        <v>1955</v>
      </c>
      <c r="F247" s="15">
        <v>153.87</v>
      </c>
      <c r="G247" s="15">
        <v>300815.84999999998</v>
      </c>
      <c r="H247" s="14" t="s">
        <v>1432</v>
      </c>
      <c r="I247" s="14" t="s">
        <v>1709</v>
      </c>
    </row>
    <row r="248" spans="1:9" ht="15" customHeight="1" x14ac:dyDescent="0.2">
      <c r="A248" s="14" t="s">
        <v>788</v>
      </c>
      <c r="B248" s="16">
        <v>45973</v>
      </c>
      <c r="C248" s="14" t="s">
        <v>1508</v>
      </c>
      <c r="D248" s="14" t="s">
        <v>46</v>
      </c>
      <c r="E248" s="14">
        <v>833</v>
      </c>
      <c r="F248" s="15">
        <v>307.54000000000002</v>
      </c>
      <c r="G248" s="15">
        <v>256180.82</v>
      </c>
      <c r="H248" s="14" t="s">
        <v>1427</v>
      </c>
      <c r="I248" s="14" t="s">
        <v>1710</v>
      </c>
    </row>
    <row r="249" spans="1:9" ht="15" customHeight="1" x14ac:dyDescent="0.2">
      <c r="A249" s="14" t="s">
        <v>791</v>
      </c>
      <c r="B249" s="16">
        <v>46004</v>
      </c>
      <c r="C249" s="14" t="s">
        <v>1474</v>
      </c>
      <c r="D249" s="14" t="s">
        <v>46</v>
      </c>
      <c r="E249" s="14">
        <v>1927</v>
      </c>
      <c r="F249" s="15">
        <v>351.94</v>
      </c>
      <c r="G249" s="15">
        <v>678188.38</v>
      </c>
      <c r="H249" s="14" t="s">
        <v>1432</v>
      </c>
      <c r="I249" s="14" t="s">
        <v>1711</v>
      </c>
    </row>
    <row r="250" spans="1:9" ht="15" customHeight="1" x14ac:dyDescent="0.2">
      <c r="A250" s="14" t="s">
        <v>794</v>
      </c>
      <c r="B250" s="16">
        <v>45957</v>
      </c>
      <c r="C250" s="14" t="s">
        <v>1474</v>
      </c>
      <c r="D250" s="14" t="s">
        <v>39</v>
      </c>
      <c r="E250" s="14">
        <v>492</v>
      </c>
      <c r="F250" s="15">
        <v>32.56</v>
      </c>
      <c r="G250" s="15">
        <v>16019.52</v>
      </c>
      <c r="H250" s="14" t="s">
        <v>1432</v>
      </c>
      <c r="I250" s="14" t="s">
        <v>1712</v>
      </c>
    </row>
    <row r="251" spans="1:9" ht="15" customHeight="1" x14ac:dyDescent="0.2">
      <c r="A251" s="14" t="s">
        <v>798</v>
      </c>
      <c r="B251" s="16">
        <v>46000</v>
      </c>
      <c r="C251" s="14" t="s">
        <v>1449</v>
      </c>
      <c r="D251" s="14" t="s">
        <v>46</v>
      </c>
      <c r="E251" s="14">
        <v>1976</v>
      </c>
      <c r="F251" s="15">
        <v>267.52</v>
      </c>
      <c r="G251" s="15">
        <v>528619.52000000002</v>
      </c>
      <c r="H251" s="14" t="s">
        <v>1427</v>
      </c>
      <c r="I251" s="14" t="s">
        <v>1713</v>
      </c>
    </row>
    <row r="252" spans="1:9" ht="15" customHeight="1" x14ac:dyDescent="0.2">
      <c r="A252" s="14" t="s">
        <v>801</v>
      </c>
      <c r="B252" s="16">
        <v>45976</v>
      </c>
      <c r="C252" s="14" t="s">
        <v>1454</v>
      </c>
      <c r="D252" s="14" t="s">
        <v>45</v>
      </c>
      <c r="E252" s="14">
        <v>1463</v>
      </c>
      <c r="F252" s="15">
        <v>222.01</v>
      </c>
      <c r="G252" s="15">
        <v>324800.63</v>
      </c>
      <c r="H252" s="14" t="s">
        <v>1432</v>
      </c>
      <c r="I252" s="14" t="s">
        <v>1714</v>
      </c>
    </row>
    <row r="253" spans="1:9" ht="15" customHeight="1" x14ac:dyDescent="0.2">
      <c r="A253" s="14" t="s">
        <v>803</v>
      </c>
      <c r="B253" s="16">
        <v>45934</v>
      </c>
      <c r="C253" s="14" t="s">
        <v>1452</v>
      </c>
      <c r="D253" s="14" t="s">
        <v>45</v>
      </c>
      <c r="E253" s="14">
        <v>1680</v>
      </c>
      <c r="F253" s="15">
        <v>234.99</v>
      </c>
      <c r="G253" s="15">
        <v>394783.2</v>
      </c>
      <c r="H253" s="14" t="s">
        <v>1427</v>
      </c>
      <c r="I253" s="14" t="s">
        <v>1715</v>
      </c>
    </row>
    <row r="254" spans="1:9" ht="15" customHeight="1" x14ac:dyDescent="0.2">
      <c r="A254" s="14" t="s">
        <v>806</v>
      </c>
      <c r="B254" s="16">
        <v>46004</v>
      </c>
      <c r="C254" s="14" t="s">
        <v>1468</v>
      </c>
      <c r="D254" s="14" t="s">
        <v>42</v>
      </c>
      <c r="E254" s="14">
        <v>1448</v>
      </c>
      <c r="F254" s="15">
        <v>235.41</v>
      </c>
      <c r="G254" s="15">
        <v>340873.68</v>
      </c>
      <c r="H254" s="14" t="s">
        <v>1427</v>
      </c>
      <c r="I254" s="14" t="s">
        <v>1716</v>
      </c>
    </row>
    <row r="255" spans="1:9" ht="15" customHeight="1" x14ac:dyDescent="0.2">
      <c r="A255" s="14" t="s">
        <v>808</v>
      </c>
      <c r="B255" s="16">
        <v>45971</v>
      </c>
      <c r="C255" s="14" t="s">
        <v>1494</v>
      </c>
      <c r="D255" s="14" t="s">
        <v>47</v>
      </c>
      <c r="E255" s="14">
        <v>1508</v>
      </c>
      <c r="F255" s="15">
        <v>40.549999999999997</v>
      </c>
      <c r="G255" s="15">
        <v>61149.4</v>
      </c>
      <c r="H255" s="14" t="s">
        <v>1432</v>
      </c>
      <c r="I255" s="14" t="s">
        <v>1717</v>
      </c>
    </row>
    <row r="256" spans="1:9" ht="15" customHeight="1" x14ac:dyDescent="0.2">
      <c r="A256" s="14" t="s">
        <v>811</v>
      </c>
      <c r="B256" s="16">
        <v>46012</v>
      </c>
      <c r="C256" s="14" t="s">
        <v>1456</v>
      </c>
      <c r="D256" s="14" t="s">
        <v>47</v>
      </c>
      <c r="E256" s="14">
        <v>829</v>
      </c>
      <c r="F256" s="15">
        <v>225.59</v>
      </c>
      <c r="G256" s="15">
        <v>187014.11</v>
      </c>
      <c r="H256" s="14" t="s">
        <v>1432</v>
      </c>
      <c r="I256" s="14" t="s">
        <v>1718</v>
      </c>
    </row>
    <row r="257" spans="1:9" ht="15" customHeight="1" x14ac:dyDescent="0.2">
      <c r="A257" s="14" t="s">
        <v>813</v>
      </c>
      <c r="B257" s="16">
        <v>45977</v>
      </c>
      <c r="C257" s="14" t="s">
        <v>1478</v>
      </c>
      <c r="D257" s="14" t="s">
        <v>44</v>
      </c>
      <c r="E257" s="14">
        <v>1443</v>
      </c>
      <c r="F257" s="15">
        <v>490.58</v>
      </c>
      <c r="G257" s="15">
        <v>707906.94</v>
      </c>
      <c r="H257" s="14" t="s">
        <v>1427</v>
      </c>
      <c r="I257" s="14" t="s">
        <v>1719</v>
      </c>
    </row>
    <row r="258" spans="1:9" ht="15" customHeight="1" x14ac:dyDescent="0.2">
      <c r="A258" s="14" t="s">
        <v>815</v>
      </c>
      <c r="B258" s="16">
        <v>45947</v>
      </c>
      <c r="C258" s="14" t="s">
        <v>1449</v>
      </c>
      <c r="D258" s="14" t="s">
        <v>36</v>
      </c>
      <c r="E258" s="14">
        <v>201</v>
      </c>
      <c r="F258" s="15">
        <v>415.38</v>
      </c>
      <c r="G258" s="15">
        <v>83491.38</v>
      </c>
      <c r="H258" s="14" t="s">
        <v>1427</v>
      </c>
      <c r="I258" s="14" t="s">
        <v>1720</v>
      </c>
    </row>
    <row r="259" spans="1:9" ht="15" customHeight="1" x14ac:dyDescent="0.2">
      <c r="A259" s="14" t="s">
        <v>817</v>
      </c>
      <c r="B259" s="16">
        <v>45945</v>
      </c>
      <c r="C259" s="14" t="s">
        <v>1445</v>
      </c>
      <c r="D259" s="14" t="s">
        <v>47</v>
      </c>
      <c r="E259" s="14">
        <v>1176</v>
      </c>
      <c r="F259" s="15">
        <v>213.27</v>
      </c>
      <c r="G259" s="15">
        <v>250805.52</v>
      </c>
      <c r="H259" s="14" t="s">
        <v>1432</v>
      </c>
      <c r="I259" s="14" t="s">
        <v>1721</v>
      </c>
    </row>
    <row r="260" spans="1:9" ht="15" customHeight="1" x14ac:dyDescent="0.2">
      <c r="A260" s="14" t="s">
        <v>819</v>
      </c>
      <c r="B260" s="16">
        <v>46013</v>
      </c>
      <c r="C260" s="14" t="s">
        <v>1466</v>
      </c>
      <c r="D260" s="14" t="s">
        <v>39</v>
      </c>
      <c r="E260" s="14">
        <v>540</v>
      </c>
      <c r="F260" s="15">
        <v>375.5</v>
      </c>
      <c r="G260" s="15">
        <v>202770</v>
      </c>
      <c r="H260" s="14" t="s">
        <v>1427</v>
      </c>
      <c r="I260" s="14" t="s">
        <v>1722</v>
      </c>
    </row>
    <row r="261" spans="1:9" ht="15" customHeight="1" x14ac:dyDescent="0.2">
      <c r="A261" s="14" t="s">
        <v>826</v>
      </c>
      <c r="B261" s="16">
        <v>45949</v>
      </c>
      <c r="C261" s="14" t="s">
        <v>1458</v>
      </c>
      <c r="D261" s="14" t="s">
        <v>44</v>
      </c>
      <c r="E261" s="14">
        <v>20</v>
      </c>
      <c r="F261" s="15">
        <v>420.91</v>
      </c>
      <c r="G261" s="15">
        <v>8418.2000000000007</v>
      </c>
      <c r="H261" s="14" t="s">
        <v>1432</v>
      </c>
      <c r="I261" s="14" t="s">
        <v>1723</v>
      </c>
    </row>
    <row r="262" spans="1:9" ht="15" customHeight="1" x14ac:dyDescent="0.2">
      <c r="A262" s="14" t="s">
        <v>828</v>
      </c>
      <c r="B262" s="16">
        <v>46008</v>
      </c>
      <c r="C262" s="14" t="s">
        <v>1445</v>
      </c>
      <c r="D262" s="14" t="s">
        <v>47</v>
      </c>
      <c r="E262" s="14">
        <v>328</v>
      </c>
      <c r="F262" s="15">
        <v>159.74</v>
      </c>
      <c r="G262" s="15">
        <v>52394.720000000001</v>
      </c>
      <c r="H262" s="14" t="s">
        <v>1427</v>
      </c>
      <c r="I262" s="14" t="s">
        <v>1724</v>
      </c>
    </row>
    <row r="263" spans="1:9" ht="15" customHeight="1" x14ac:dyDescent="0.2">
      <c r="A263" s="14" t="s">
        <v>831</v>
      </c>
      <c r="B263" s="16">
        <v>46007</v>
      </c>
      <c r="C263" s="14" t="s">
        <v>1449</v>
      </c>
      <c r="D263" s="14" t="s">
        <v>47</v>
      </c>
      <c r="E263" s="14">
        <v>403</v>
      </c>
      <c r="F263" s="15">
        <v>170.88</v>
      </c>
      <c r="G263" s="15">
        <v>68864.639999999999</v>
      </c>
      <c r="H263" s="14" t="s">
        <v>1432</v>
      </c>
      <c r="I263" s="14" t="s">
        <v>1725</v>
      </c>
    </row>
    <row r="264" spans="1:9" ht="15" customHeight="1" x14ac:dyDescent="0.2">
      <c r="A264" s="14" t="s">
        <v>834</v>
      </c>
      <c r="B264" s="16">
        <v>45995</v>
      </c>
      <c r="C264" s="14" t="s">
        <v>1454</v>
      </c>
      <c r="D264" s="14" t="s">
        <v>47</v>
      </c>
      <c r="E264" s="14">
        <v>1994</v>
      </c>
      <c r="F264" s="15">
        <v>498.72</v>
      </c>
      <c r="G264" s="15">
        <v>994447.68</v>
      </c>
      <c r="H264" s="14" t="s">
        <v>1427</v>
      </c>
      <c r="I264" s="14" t="s">
        <v>1726</v>
      </c>
    </row>
    <row r="265" spans="1:9" ht="15" customHeight="1" x14ac:dyDescent="0.2">
      <c r="A265" s="14" t="s">
        <v>836</v>
      </c>
      <c r="B265" s="16">
        <v>45986</v>
      </c>
      <c r="C265" s="14" t="s">
        <v>1447</v>
      </c>
      <c r="D265" s="14" t="s">
        <v>46</v>
      </c>
      <c r="E265" s="14">
        <v>1278</v>
      </c>
      <c r="F265" s="15">
        <v>170.72</v>
      </c>
      <c r="G265" s="15">
        <v>218180.16</v>
      </c>
      <c r="H265" s="14" t="s">
        <v>1427</v>
      </c>
      <c r="I265" s="14" t="s">
        <v>1727</v>
      </c>
    </row>
    <row r="266" spans="1:9" ht="15" customHeight="1" x14ac:dyDescent="0.2">
      <c r="A266" s="14" t="s">
        <v>838</v>
      </c>
      <c r="B266" s="16">
        <v>46013</v>
      </c>
      <c r="C266" s="14" t="s">
        <v>1445</v>
      </c>
      <c r="D266" s="14" t="s">
        <v>42</v>
      </c>
      <c r="E266" s="14">
        <v>851</v>
      </c>
      <c r="F266" s="15">
        <v>479.59</v>
      </c>
      <c r="G266" s="15">
        <v>408131.09</v>
      </c>
      <c r="H266" s="14" t="s">
        <v>1427</v>
      </c>
      <c r="I266" s="14" t="s">
        <v>1728</v>
      </c>
    </row>
    <row r="267" spans="1:9" ht="15" customHeight="1" x14ac:dyDescent="0.2">
      <c r="A267" s="14" t="s">
        <v>840</v>
      </c>
      <c r="B267" s="16">
        <v>46009</v>
      </c>
      <c r="C267" s="14" t="s">
        <v>1447</v>
      </c>
      <c r="D267" s="14" t="s">
        <v>42</v>
      </c>
      <c r="E267" s="14">
        <v>1576</v>
      </c>
      <c r="F267" s="15">
        <v>130.22999999999999</v>
      </c>
      <c r="G267" s="15">
        <v>205242.48</v>
      </c>
      <c r="H267" s="14" t="s">
        <v>1427</v>
      </c>
      <c r="I267" s="14" t="s">
        <v>1729</v>
      </c>
    </row>
    <row r="268" spans="1:9" ht="15" customHeight="1" x14ac:dyDescent="0.2">
      <c r="A268" s="14" t="s">
        <v>843</v>
      </c>
      <c r="B268" s="16">
        <v>46011</v>
      </c>
      <c r="C268" s="14" t="s">
        <v>1454</v>
      </c>
      <c r="D268" s="14" t="s">
        <v>39</v>
      </c>
      <c r="E268" s="14">
        <v>388</v>
      </c>
      <c r="F268" s="15">
        <v>127.55</v>
      </c>
      <c r="G268" s="15">
        <v>49489.4</v>
      </c>
      <c r="H268" s="14" t="s">
        <v>1432</v>
      </c>
      <c r="I268" s="14" t="s">
        <v>1730</v>
      </c>
    </row>
    <row r="269" spans="1:9" ht="15" customHeight="1" x14ac:dyDescent="0.2">
      <c r="A269" s="14" t="s">
        <v>847</v>
      </c>
      <c r="B269" s="16">
        <v>45987</v>
      </c>
      <c r="C269" s="14" t="s">
        <v>1445</v>
      </c>
      <c r="D269" s="14" t="s">
        <v>45</v>
      </c>
      <c r="E269" s="14">
        <v>476</v>
      </c>
      <c r="F269" s="15">
        <v>434.54</v>
      </c>
      <c r="G269" s="15">
        <v>206841.04</v>
      </c>
      <c r="H269" s="14" t="s">
        <v>1432</v>
      </c>
      <c r="I269" s="14" t="s">
        <v>1731</v>
      </c>
    </row>
    <row r="270" spans="1:9" ht="15" customHeight="1" x14ac:dyDescent="0.2">
      <c r="A270" s="14" t="s">
        <v>850</v>
      </c>
      <c r="B270" s="16">
        <v>46015</v>
      </c>
      <c r="C270" s="14" t="s">
        <v>1458</v>
      </c>
      <c r="D270" s="14" t="s">
        <v>45</v>
      </c>
      <c r="E270" s="14">
        <v>1900</v>
      </c>
      <c r="F270" s="15">
        <v>430.04</v>
      </c>
      <c r="G270" s="15">
        <v>817076</v>
      </c>
      <c r="H270" s="14" t="s">
        <v>1427</v>
      </c>
      <c r="I270" s="14" t="s">
        <v>1732</v>
      </c>
    </row>
    <row r="271" spans="1:9" ht="15" customHeight="1" x14ac:dyDescent="0.2">
      <c r="A271" s="14" t="s">
        <v>853</v>
      </c>
      <c r="B271" s="16">
        <v>46017</v>
      </c>
      <c r="C271" s="14" t="s">
        <v>1454</v>
      </c>
      <c r="D271" s="14" t="s">
        <v>47</v>
      </c>
      <c r="E271" s="14">
        <v>546</v>
      </c>
      <c r="F271" s="15">
        <v>84.38</v>
      </c>
      <c r="G271" s="15">
        <v>46071.48</v>
      </c>
      <c r="H271" s="14" t="s">
        <v>1432</v>
      </c>
      <c r="I271" s="14" t="s">
        <v>1733</v>
      </c>
    </row>
    <row r="272" spans="1:9" ht="15" customHeight="1" x14ac:dyDescent="0.2">
      <c r="A272" s="14" t="s">
        <v>856</v>
      </c>
      <c r="B272" s="16">
        <v>46012</v>
      </c>
      <c r="C272" s="14" t="s">
        <v>1468</v>
      </c>
      <c r="D272" s="14" t="s">
        <v>45</v>
      </c>
      <c r="E272" s="14">
        <v>1800</v>
      </c>
      <c r="F272" s="15">
        <v>336.22</v>
      </c>
      <c r="G272" s="15">
        <v>605196</v>
      </c>
      <c r="H272" s="14" t="s">
        <v>1432</v>
      </c>
      <c r="I272" s="14" t="s">
        <v>1734</v>
      </c>
    </row>
    <row r="273" spans="1:9" ht="15" customHeight="1" x14ac:dyDescent="0.2">
      <c r="A273" s="14" t="s">
        <v>859</v>
      </c>
      <c r="B273" s="16">
        <v>45931</v>
      </c>
      <c r="C273" s="14" t="s">
        <v>1449</v>
      </c>
      <c r="D273" s="14" t="s">
        <v>44</v>
      </c>
      <c r="E273" s="14">
        <v>1928</v>
      </c>
      <c r="F273" s="15">
        <v>164.41</v>
      </c>
      <c r="G273" s="15">
        <v>316982.48</v>
      </c>
      <c r="H273" s="14" t="s">
        <v>1432</v>
      </c>
      <c r="I273" s="14" t="s">
        <v>1735</v>
      </c>
    </row>
    <row r="274" spans="1:9" ht="15" customHeight="1" x14ac:dyDescent="0.2">
      <c r="A274" s="14" t="s">
        <v>861</v>
      </c>
      <c r="B274" s="16">
        <v>45965</v>
      </c>
      <c r="C274" s="14" t="s">
        <v>1478</v>
      </c>
      <c r="D274" s="14" t="s">
        <v>46</v>
      </c>
      <c r="E274" s="14">
        <v>582</v>
      </c>
      <c r="F274" s="15">
        <v>140.87</v>
      </c>
      <c r="G274" s="15">
        <v>81986.34</v>
      </c>
      <c r="H274" s="14" t="s">
        <v>1427</v>
      </c>
      <c r="I274" s="14" t="s">
        <v>1736</v>
      </c>
    </row>
    <row r="275" spans="1:9" ht="15" customHeight="1" x14ac:dyDescent="0.2">
      <c r="A275" s="14" t="s">
        <v>863</v>
      </c>
      <c r="B275" s="16">
        <v>45977</v>
      </c>
      <c r="C275" s="14" t="s">
        <v>1474</v>
      </c>
      <c r="D275" s="14" t="s">
        <v>36</v>
      </c>
      <c r="E275" s="14">
        <v>868</v>
      </c>
      <c r="F275" s="15">
        <v>309.81</v>
      </c>
      <c r="G275" s="15">
        <v>268915.08</v>
      </c>
      <c r="H275" s="14" t="s">
        <v>1432</v>
      </c>
      <c r="I275" s="14" t="s">
        <v>1737</v>
      </c>
    </row>
    <row r="276" spans="1:9" ht="15" customHeight="1" x14ac:dyDescent="0.2">
      <c r="A276" s="14" t="s">
        <v>866</v>
      </c>
      <c r="B276" s="16">
        <v>46011</v>
      </c>
      <c r="C276" s="14" t="s">
        <v>1447</v>
      </c>
      <c r="D276" s="14" t="s">
        <v>39</v>
      </c>
      <c r="E276" s="14">
        <v>1117</v>
      </c>
      <c r="F276" s="15">
        <v>13.97</v>
      </c>
      <c r="G276" s="15">
        <v>15604.49</v>
      </c>
      <c r="H276" s="14" t="s">
        <v>1432</v>
      </c>
      <c r="I276" s="14" t="s">
        <v>1738</v>
      </c>
    </row>
    <row r="277" spans="1:9" ht="15" customHeight="1" x14ac:dyDescent="0.2">
      <c r="A277" s="14" t="s">
        <v>870</v>
      </c>
      <c r="B277" s="16">
        <v>45964</v>
      </c>
      <c r="C277" s="14" t="s">
        <v>1478</v>
      </c>
      <c r="D277" s="14" t="s">
        <v>42</v>
      </c>
      <c r="E277" s="14">
        <v>295</v>
      </c>
      <c r="F277" s="15">
        <v>486.59</v>
      </c>
      <c r="G277" s="15">
        <v>143544.04999999999</v>
      </c>
      <c r="H277" s="14" t="s">
        <v>1427</v>
      </c>
      <c r="I277" s="14" t="s">
        <v>1739</v>
      </c>
    </row>
    <row r="278" spans="1:9" ht="15" customHeight="1" x14ac:dyDescent="0.2">
      <c r="A278" s="14" t="s">
        <v>872</v>
      </c>
      <c r="B278" s="16">
        <v>45965</v>
      </c>
      <c r="C278" s="14" t="s">
        <v>1447</v>
      </c>
      <c r="D278" s="14" t="s">
        <v>45</v>
      </c>
      <c r="E278" s="14">
        <v>1112</v>
      </c>
      <c r="F278" s="15">
        <v>4.08</v>
      </c>
      <c r="G278" s="15">
        <v>4536.96</v>
      </c>
      <c r="H278" s="14" t="s">
        <v>1427</v>
      </c>
      <c r="I278" s="14" t="s">
        <v>1740</v>
      </c>
    </row>
    <row r="279" spans="1:9" ht="15" customHeight="1" x14ac:dyDescent="0.2">
      <c r="A279" s="14" t="s">
        <v>874</v>
      </c>
      <c r="B279" s="16">
        <v>46004</v>
      </c>
      <c r="C279" s="14" t="s">
        <v>1480</v>
      </c>
      <c r="D279" s="14" t="s">
        <v>39</v>
      </c>
      <c r="E279" s="14">
        <v>1035</v>
      </c>
      <c r="F279" s="15">
        <v>86.42</v>
      </c>
      <c r="G279" s="15">
        <v>89444.7</v>
      </c>
      <c r="H279" s="14" t="s">
        <v>1432</v>
      </c>
      <c r="I279" s="14" t="s">
        <v>1741</v>
      </c>
    </row>
    <row r="280" spans="1:9" ht="15" customHeight="1" x14ac:dyDescent="0.2">
      <c r="A280" s="14" t="s">
        <v>878</v>
      </c>
      <c r="B280" s="16">
        <v>45984</v>
      </c>
      <c r="C280" s="14" t="s">
        <v>1510</v>
      </c>
      <c r="D280" s="14" t="s">
        <v>45</v>
      </c>
      <c r="E280" s="14">
        <v>1116</v>
      </c>
      <c r="F280" s="15">
        <v>254.22</v>
      </c>
      <c r="G280" s="15">
        <v>283709.52</v>
      </c>
      <c r="H280" s="14" t="s">
        <v>1432</v>
      </c>
      <c r="I280" s="14" t="s">
        <v>1742</v>
      </c>
    </row>
    <row r="281" spans="1:9" ht="15" customHeight="1" x14ac:dyDescent="0.2">
      <c r="A281" s="14" t="s">
        <v>880</v>
      </c>
      <c r="B281" s="16">
        <v>45999</v>
      </c>
      <c r="C281" s="14" t="s">
        <v>1447</v>
      </c>
      <c r="D281" s="14" t="s">
        <v>42</v>
      </c>
      <c r="E281" s="14">
        <v>974</v>
      </c>
      <c r="F281" s="15">
        <v>180.9</v>
      </c>
      <c r="G281" s="15">
        <v>176196.6</v>
      </c>
      <c r="H281" s="14" t="s">
        <v>1427</v>
      </c>
      <c r="I281" s="14" t="s">
        <v>1743</v>
      </c>
    </row>
    <row r="282" spans="1:9" ht="15" customHeight="1" x14ac:dyDescent="0.2">
      <c r="A282" s="14" t="s">
        <v>882</v>
      </c>
      <c r="B282" s="16">
        <v>46013</v>
      </c>
      <c r="C282" s="14" t="s">
        <v>1449</v>
      </c>
      <c r="D282" s="14" t="s">
        <v>42</v>
      </c>
      <c r="E282" s="14">
        <v>945</v>
      </c>
      <c r="F282" s="15">
        <v>405.89</v>
      </c>
      <c r="G282" s="15">
        <v>383566.05</v>
      </c>
      <c r="H282" s="14" t="s">
        <v>1432</v>
      </c>
      <c r="I282" s="14" t="s">
        <v>1744</v>
      </c>
    </row>
    <row r="283" spans="1:9" ht="15" customHeight="1" x14ac:dyDescent="0.2">
      <c r="A283" s="14" t="s">
        <v>884</v>
      </c>
      <c r="B283" s="16">
        <v>46014</v>
      </c>
      <c r="C283" s="14" t="s">
        <v>1452</v>
      </c>
      <c r="D283" s="14" t="s">
        <v>36</v>
      </c>
      <c r="E283" s="14">
        <v>1429</v>
      </c>
      <c r="F283" s="15">
        <v>406.79</v>
      </c>
      <c r="G283" s="15">
        <v>581302.91</v>
      </c>
      <c r="H283" s="14" t="s">
        <v>1432</v>
      </c>
      <c r="I283" s="14" t="s">
        <v>1745</v>
      </c>
    </row>
    <row r="284" spans="1:9" ht="15" customHeight="1" x14ac:dyDescent="0.2">
      <c r="A284" s="14" t="s">
        <v>886</v>
      </c>
      <c r="B284" s="16">
        <v>46010</v>
      </c>
      <c r="C284" s="14" t="s">
        <v>1510</v>
      </c>
      <c r="D284" s="14" t="s">
        <v>45</v>
      </c>
      <c r="E284" s="14">
        <v>1415</v>
      </c>
      <c r="F284" s="15">
        <v>357.23</v>
      </c>
      <c r="G284" s="15">
        <v>505480.45</v>
      </c>
      <c r="H284" s="14" t="s">
        <v>1427</v>
      </c>
      <c r="I284" s="14" t="s">
        <v>1746</v>
      </c>
    </row>
    <row r="285" spans="1:9" ht="15" customHeight="1" x14ac:dyDescent="0.2">
      <c r="A285" s="14" t="s">
        <v>888</v>
      </c>
      <c r="B285" s="16">
        <v>46014</v>
      </c>
      <c r="C285" s="14" t="s">
        <v>1508</v>
      </c>
      <c r="D285" s="14" t="s">
        <v>45</v>
      </c>
      <c r="E285" s="14">
        <v>1355</v>
      </c>
      <c r="F285" s="15">
        <v>480.72</v>
      </c>
      <c r="G285" s="15">
        <v>651375.6</v>
      </c>
      <c r="H285" s="14" t="s">
        <v>1427</v>
      </c>
      <c r="I285" s="14" t="s">
        <v>1747</v>
      </c>
    </row>
    <row r="286" spans="1:9" ht="15" customHeight="1" x14ac:dyDescent="0.2">
      <c r="A286" s="14" t="s">
        <v>890</v>
      </c>
      <c r="B286" s="16">
        <v>46000</v>
      </c>
      <c r="C286" s="14" t="s">
        <v>1508</v>
      </c>
      <c r="D286" s="14" t="s">
        <v>36</v>
      </c>
      <c r="E286" s="14">
        <v>1159</v>
      </c>
      <c r="F286" s="15">
        <v>56.12</v>
      </c>
      <c r="G286" s="15">
        <v>65043.08</v>
      </c>
      <c r="H286" s="14" t="s">
        <v>1432</v>
      </c>
      <c r="I286" s="14" t="s">
        <v>1748</v>
      </c>
    </row>
    <row r="287" spans="1:9" ht="15" customHeight="1" x14ac:dyDescent="0.2">
      <c r="A287" s="14" t="s">
        <v>892</v>
      </c>
      <c r="B287" s="16">
        <v>46009</v>
      </c>
      <c r="C287" s="14" t="s">
        <v>1449</v>
      </c>
      <c r="D287" s="14" t="s">
        <v>44</v>
      </c>
      <c r="E287" s="14">
        <v>239</v>
      </c>
      <c r="F287" s="15">
        <v>372.02</v>
      </c>
      <c r="G287" s="15">
        <v>88912.78</v>
      </c>
      <c r="H287" s="14" t="s">
        <v>1432</v>
      </c>
      <c r="I287" s="14" t="s">
        <v>1749</v>
      </c>
    </row>
    <row r="288" spans="1:9" ht="15" customHeight="1" x14ac:dyDescent="0.2">
      <c r="A288" s="14" t="s">
        <v>894</v>
      </c>
      <c r="B288" s="16">
        <v>45957</v>
      </c>
      <c r="C288" s="14" t="s">
        <v>1449</v>
      </c>
      <c r="D288" s="14" t="s">
        <v>46</v>
      </c>
      <c r="E288" s="14">
        <v>1107</v>
      </c>
      <c r="F288" s="15">
        <v>73.41</v>
      </c>
      <c r="G288" s="15">
        <v>81264.87</v>
      </c>
      <c r="H288" s="14" t="s">
        <v>1432</v>
      </c>
      <c r="I288" s="14" t="s">
        <v>1750</v>
      </c>
    </row>
    <row r="289" spans="1:9" ht="15" customHeight="1" x14ac:dyDescent="0.2">
      <c r="A289" s="14" t="s">
        <v>896</v>
      </c>
      <c r="B289" s="16">
        <v>45934</v>
      </c>
      <c r="C289" s="14" t="s">
        <v>1478</v>
      </c>
      <c r="D289" s="14" t="s">
        <v>42</v>
      </c>
      <c r="E289" s="14">
        <v>425</v>
      </c>
      <c r="F289" s="15">
        <v>237.51</v>
      </c>
      <c r="G289" s="15">
        <v>100941.75</v>
      </c>
      <c r="H289" s="14" t="s">
        <v>1432</v>
      </c>
      <c r="I289" s="14" t="s">
        <v>1751</v>
      </c>
    </row>
    <row r="290" spans="1:9" ht="15" customHeight="1" x14ac:dyDescent="0.2">
      <c r="A290" s="14" t="s">
        <v>899</v>
      </c>
      <c r="B290" s="16">
        <v>46009</v>
      </c>
      <c r="C290" s="14" t="s">
        <v>1480</v>
      </c>
      <c r="D290" s="14" t="s">
        <v>39</v>
      </c>
      <c r="E290" s="14">
        <v>1658</v>
      </c>
      <c r="F290" s="15">
        <v>210.78</v>
      </c>
      <c r="G290" s="15">
        <v>349473.24</v>
      </c>
      <c r="H290" s="14" t="s">
        <v>1432</v>
      </c>
      <c r="I290" s="14" t="s">
        <v>1752</v>
      </c>
    </row>
    <row r="291" spans="1:9" ht="15" customHeight="1" x14ac:dyDescent="0.2">
      <c r="A291" s="14" t="s">
        <v>903</v>
      </c>
      <c r="B291" s="16">
        <v>46010</v>
      </c>
      <c r="C291" s="14" t="s">
        <v>1447</v>
      </c>
      <c r="D291" s="14" t="s">
        <v>47</v>
      </c>
      <c r="E291" s="14">
        <v>532</v>
      </c>
      <c r="F291" s="15">
        <v>349.67</v>
      </c>
      <c r="G291" s="15">
        <v>186024.44</v>
      </c>
      <c r="H291" s="14" t="s">
        <v>1432</v>
      </c>
      <c r="I291" s="14" t="s">
        <v>1753</v>
      </c>
    </row>
    <row r="292" spans="1:9" ht="15" customHeight="1" x14ac:dyDescent="0.2">
      <c r="A292" s="14" t="s">
        <v>905</v>
      </c>
      <c r="B292" s="16">
        <v>45967</v>
      </c>
      <c r="C292" s="14" t="s">
        <v>1468</v>
      </c>
      <c r="D292" s="14" t="s">
        <v>44</v>
      </c>
      <c r="E292" s="14">
        <v>1920</v>
      </c>
      <c r="F292" s="15">
        <v>21.47</v>
      </c>
      <c r="G292" s="15">
        <v>41222.400000000001</v>
      </c>
      <c r="H292" s="14" t="s">
        <v>1427</v>
      </c>
      <c r="I292" s="14" t="s">
        <v>1754</v>
      </c>
    </row>
    <row r="293" spans="1:9" ht="15" customHeight="1" x14ac:dyDescent="0.2">
      <c r="A293" s="14" t="s">
        <v>1755</v>
      </c>
      <c r="B293" s="16">
        <v>46014</v>
      </c>
      <c r="C293" s="14" t="s">
        <v>1449</v>
      </c>
      <c r="D293" s="14" t="s">
        <v>44</v>
      </c>
      <c r="E293" s="14">
        <v>699</v>
      </c>
      <c r="F293" s="15">
        <v>118.24</v>
      </c>
      <c r="G293" s="15">
        <v>82649.759999999995</v>
      </c>
      <c r="H293" s="14" t="s">
        <v>1427</v>
      </c>
      <c r="I293" s="14" t="s">
        <v>1756</v>
      </c>
    </row>
    <row r="294" spans="1:9" ht="15" customHeight="1" x14ac:dyDescent="0.2">
      <c r="A294" s="14" t="s">
        <v>907</v>
      </c>
      <c r="B294" s="16">
        <v>45986</v>
      </c>
      <c r="C294" s="14" t="s">
        <v>1474</v>
      </c>
      <c r="D294" s="14" t="s">
        <v>44</v>
      </c>
      <c r="E294" s="14">
        <v>1704</v>
      </c>
      <c r="F294" s="15">
        <v>407</v>
      </c>
      <c r="G294" s="15">
        <v>693528</v>
      </c>
      <c r="H294" s="14" t="s">
        <v>1432</v>
      </c>
      <c r="I294" s="14" t="s">
        <v>1757</v>
      </c>
    </row>
    <row r="295" spans="1:9" ht="15" customHeight="1" x14ac:dyDescent="0.2">
      <c r="A295" s="14" t="s">
        <v>909</v>
      </c>
      <c r="B295" s="16">
        <v>45971</v>
      </c>
      <c r="C295" s="14" t="s">
        <v>1458</v>
      </c>
      <c r="D295" s="14" t="s">
        <v>42</v>
      </c>
      <c r="E295" s="14">
        <v>1555</v>
      </c>
      <c r="F295" s="15">
        <v>48.95</v>
      </c>
      <c r="G295" s="15">
        <v>76117.25</v>
      </c>
      <c r="H295" s="14" t="s">
        <v>1427</v>
      </c>
      <c r="I295" s="14" t="s">
        <v>1758</v>
      </c>
    </row>
    <row r="296" spans="1:9" ht="15" customHeight="1" x14ac:dyDescent="0.2">
      <c r="A296" s="14" t="s">
        <v>911</v>
      </c>
      <c r="B296" s="16">
        <v>46015</v>
      </c>
      <c r="C296" s="14" t="s">
        <v>1480</v>
      </c>
      <c r="D296" s="14" t="s">
        <v>46</v>
      </c>
      <c r="E296" s="14">
        <v>1355</v>
      </c>
      <c r="F296" s="15">
        <v>408.31</v>
      </c>
      <c r="G296" s="15">
        <v>553260.05000000005</v>
      </c>
      <c r="H296" s="14" t="s">
        <v>1432</v>
      </c>
      <c r="I296" s="14" t="s">
        <v>1759</v>
      </c>
    </row>
    <row r="297" spans="1:9" ht="15" customHeight="1" x14ac:dyDescent="0.2">
      <c r="A297" s="14" t="s">
        <v>913</v>
      </c>
      <c r="B297" s="16">
        <v>45948</v>
      </c>
      <c r="C297" s="14" t="s">
        <v>1458</v>
      </c>
      <c r="D297" s="14" t="s">
        <v>46</v>
      </c>
      <c r="E297" s="14">
        <v>1055</v>
      </c>
      <c r="F297" s="15">
        <v>108.04</v>
      </c>
      <c r="G297" s="15">
        <v>113982.2</v>
      </c>
      <c r="H297" s="14" t="s">
        <v>1432</v>
      </c>
      <c r="I297" s="14" t="s">
        <v>1760</v>
      </c>
    </row>
    <row r="298" spans="1:9" ht="15" customHeight="1" x14ac:dyDescent="0.2">
      <c r="A298" s="14" t="s">
        <v>915</v>
      </c>
      <c r="B298" s="16">
        <v>45969</v>
      </c>
      <c r="C298" s="14" t="s">
        <v>1468</v>
      </c>
      <c r="D298" s="14" t="s">
        <v>46</v>
      </c>
      <c r="E298" s="14">
        <v>1619</v>
      </c>
      <c r="F298" s="15">
        <v>286.52</v>
      </c>
      <c r="G298" s="15">
        <v>463875.88</v>
      </c>
      <c r="H298" s="14" t="s">
        <v>1432</v>
      </c>
      <c r="I298" s="14" t="s">
        <v>1761</v>
      </c>
    </row>
    <row r="299" spans="1:9" ht="15" customHeight="1" x14ac:dyDescent="0.2">
      <c r="A299" s="14" t="s">
        <v>918</v>
      </c>
      <c r="B299" s="16">
        <v>45997</v>
      </c>
      <c r="C299" s="14" t="s">
        <v>1508</v>
      </c>
      <c r="D299" s="14" t="s">
        <v>46</v>
      </c>
      <c r="E299" s="14">
        <v>94</v>
      </c>
      <c r="F299" s="15">
        <v>55.29</v>
      </c>
      <c r="G299" s="15">
        <v>5197.26</v>
      </c>
      <c r="H299" s="14" t="s">
        <v>1427</v>
      </c>
      <c r="I299" s="14" t="s">
        <v>1762</v>
      </c>
    </row>
    <row r="300" spans="1:9" ht="15" customHeight="1" x14ac:dyDescent="0.2">
      <c r="A300" s="14" t="s">
        <v>920</v>
      </c>
      <c r="B300" s="16">
        <v>45963</v>
      </c>
      <c r="C300" s="14" t="s">
        <v>1458</v>
      </c>
      <c r="D300" s="14" t="s">
        <v>45</v>
      </c>
      <c r="E300" s="14">
        <v>1642</v>
      </c>
      <c r="F300" s="15">
        <v>172.51</v>
      </c>
      <c r="G300" s="15">
        <v>283261.42</v>
      </c>
      <c r="H300" s="14" t="s">
        <v>1432</v>
      </c>
      <c r="I300" s="14" t="s">
        <v>1763</v>
      </c>
    </row>
    <row r="301" spans="1:9" ht="15" customHeight="1" x14ac:dyDescent="0.2">
      <c r="A301" s="14" t="s">
        <v>922</v>
      </c>
      <c r="B301" s="16">
        <v>45998</v>
      </c>
      <c r="C301" s="14" t="s">
        <v>1445</v>
      </c>
      <c r="D301" s="14" t="s">
        <v>39</v>
      </c>
      <c r="E301" s="14">
        <v>760</v>
      </c>
      <c r="F301" s="15">
        <v>31.21</v>
      </c>
      <c r="G301" s="15">
        <v>23719.599999999999</v>
      </c>
      <c r="H301" s="14" t="s">
        <v>1432</v>
      </c>
      <c r="I301" s="14" t="s">
        <v>1764</v>
      </c>
    </row>
    <row r="302" spans="1:9" ht="15" customHeight="1" x14ac:dyDescent="0.2">
      <c r="A302" s="14" t="s">
        <v>926</v>
      </c>
      <c r="B302" s="16">
        <v>46018</v>
      </c>
      <c r="C302" s="14" t="s">
        <v>1449</v>
      </c>
      <c r="D302" s="14" t="s">
        <v>45</v>
      </c>
      <c r="E302" s="14">
        <v>1684</v>
      </c>
      <c r="F302" s="15">
        <v>224.9</v>
      </c>
      <c r="G302" s="15">
        <v>378731.6</v>
      </c>
      <c r="H302" s="14" t="s">
        <v>1427</v>
      </c>
      <c r="I302" s="14" t="s">
        <v>1765</v>
      </c>
    </row>
    <row r="303" spans="1:9" ht="15" customHeight="1" x14ac:dyDescent="0.2">
      <c r="A303" s="14" t="s">
        <v>928</v>
      </c>
      <c r="B303" s="16">
        <v>45995</v>
      </c>
      <c r="C303" s="14" t="s">
        <v>1494</v>
      </c>
      <c r="D303" s="14" t="s">
        <v>39</v>
      </c>
      <c r="E303" s="14">
        <v>1979</v>
      </c>
      <c r="F303" s="15">
        <v>104.2</v>
      </c>
      <c r="G303" s="15">
        <v>206211.8</v>
      </c>
      <c r="H303" s="14" t="s">
        <v>1427</v>
      </c>
      <c r="I303" s="14" t="s">
        <v>1766</v>
      </c>
    </row>
    <row r="304" spans="1:9" ht="15" customHeight="1" x14ac:dyDescent="0.2">
      <c r="A304" s="14" t="s">
        <v>935</v>
      </c>
      <c r="B304" s="16">
        <v>46003</v>
      </c>
      <c r="C304" s="14" t="s">
        <v>1458</v>
      </c>
      <c r="D304" s="14" t="s">
        <v>46</v>
      </c>
      <c r="E304" s="14">
        <v>1646</v>
      </c>
      <c r="F304" s="15">
        <v>309.62</v>
      </c>
      <c r="G304" s="15">
        <v>509634.52</v>
      </c>
      <c r="H304" s="14" t="s">
        <v>1427</v>
      </c>
      <c r="I304" s="14" t="s">
        <v>1767</v>
      </c>
    </row>
    <row r="305" spans="1:9" ht="15" customHeight="1" x14ac:dyDescent="0.2">
      <c r="A305" s="14" t="s">
        <v>937</v>
      </c>
      <c r="B305" s="16">
        <v>45999</v>
      </c>
      <c r="C305" s="14" t="s">
        <v>1454</v>
      </c>
      <c r="D305" s="14" t="s">
        <v>42</v>
      </c>
      <c r="E305" s="14">
        <v>1469</v>
      </c>
      <c r="F305" s="15">
        <v>25.89</v>
      </c>
      <c r="G305" s="15">
        <v>38032.410000000003</v>
      </c>
      <c r="H305" s="14" t="s">
        <v>1432</v>
      </c>
      <c r="I305" s="14" t="s">
        <v>1768</v>
      </c>
    </row>
    <row r="306" spans="1:9" ht="15" customHeight="1" x14ac:dyDescent="0.2">
      <c r="A306" s="14" t="s">
        <v>939</v>
      </c>
      <c r="B306" s="16">
        <v>45955</v>
      </c>
      <c r="C306" s="14" t="s">
        <v>1456</v>
      </c>
      <c r="D306" s="14" t="s">
        <v>42</v>
      </c>
      <c r="E306" s="14">
        <v>1366</v>
      </c>
      <c r="F306" s="15">
        <v>292.38</v>
      </c>
      <c r="G306" s="15">
        <v>399391.08</v>
      </c>
      <c r="H306" s="14" t="s">
        <v>1427</v>
      </c>
      <c r="I306" s="14" t="s">
        <v>1769</v>
      </c>
    </row>
    <row r="307" spans="1:9" ht="15" customHeight="1" x14ac:dyDescent="0.2">
      <c r="A307" s="14" t="s">
        <v>942</v>
      </c>
      <c r="B307" s="16">
        <v>46008</v>
      </c>
      <c r="C307" s="14" t="s">
        <v>1445</v>
      </c>
      <c r="D307" s="14" t="s">
        <v>36</v>
      </c>
      <c r="E307" s="14">
        <v>1866</v>
      </c>
      <c r="F307" s="15">
        <v>74.959999999999994</v>
      </c>
      <c r="G307" s="15">
        <v>139875.35999999999</v>
      </c>
      <c r="H307" s="14" t="s">
        <v>1432</v>
      </c>
      <c r="I307" s="14" t="s">
        <v>1770</v>
      </c>
    </row>
    <row r="308" spans="1:9" ht="15" customHeight="1" x14ac:dyDescent="0.2">
      <c r="A308" s="14" t="s">
        <v>944</v>
      </c>
      <c r="B308" s="16">
        <v>45967</v>
      </c>
      <c r="C308" s="14" t="s">
        <v>1510</v>
      </c>
      <c r="D308" s="14" t="s">
        <v>42</v>
      </c>
      <c r="E308" s="14">
        <v>1547</v>
      </c>
      <c r="F308" s="15">
        <v>497.13</v>
      </c>
      <c r="G308" s="15">
        <v>769060.11</v>
      </c>
      <c r="H308" s="14" t="s">
        <v>1432</v>
      </c>
      <c r="I308" s="14" t="s">
        <v>1771</v>
      </c>
    </row>
    <row r="309" spans="1:9" ht="15" customHeight="1" x14ac:dyDescent="0.2">
      <c r="A309" s="14" t="s">
        <v>946</v>
      </c>
      <c r="B309" s="16">
        <v>46006</v>
      </c>
      <c r="C309" s="14" t="s">
        <v>1452</v>
      </c>
      <c r="D309" s="14" t="s">
        <v>39</v>
      </c>
      <c r="E309" s="14">
        <v>1693</v>
      </c>
      <c r="F309" s="15">
        <v>96.84</v>
      </c>
      <c r="G309" s="15">
        <v>163950.12</v>
      </c>
      <c r="H309" s="14" t="s">
        <v>1432</v>
      </c>
      <c r="I309" s="14" t="s">
        <v>1772</v>
      </c>
    </row>
    <row r="310" spans="1:9" ht="15" customHeight="1" x14ac:dyDescent="0.2">
      <c r="A310" s="14" t="s">
        <v>953</v>
      </c>
      <c r="B310" s="16">
        <v>45952</v>
      </c>
      <c r="C310" s="14" t="s">
        <v>1456</v>
      </c>
      <c r="D310" s="14" t="s">
        <v>44</v>
      </c>
      <c r="E310" s="14">
        <v>101</v>
      </c>
      <c r="F310" s="15">
        <v>165.62</v>
      </c>
      <c r="G310" s="15">
        <v>16727.62</v>
      </c>
      <c r="H310" s="14" t="s">
        <v>1427</v>
      </c>
      <c r="I310" s="14" t="s">
        <v>1773</v>
      </c>
    </row>
    <row r="311" spans="1:9" ht="15" customHeight="1" x14ac:dyDescent="0.2">
      <c r="A311" s="14" t="s">
        <v>955</v>
      </c>
      <c r="B311" s="16">
        <v>45963</v>
      </c>
      <c r="C311" s="14" t="s">
        <v>1468</v>
      </c>
      <c r="D311" s="14" t="s">
        <v>44</v>
      </c>
      <c r="E311" s="14">
        <v>414</v>
      </c>
      <c r="F311" s="15">
        <v>394.69</v>
      </c>
      <c r="G311" s="15">
        <v>163401.66</v>
      </c>
      <c r="H311" s="14" t="s">
        <v>1432</v>
      </c>
      <c r="I311" s="14" t="s">
        <v>1774</v>
      </c>
    </row>
    <row r="312" spans="1:9" ht="15" customHeight="1" x14ac:dyDescent="0.2">
      <c r="A312" s="14" t="s">
        <v>957</v>
      </c>
      <c r="B312" s="16">
        <v>46011</v>
      </c>
      <c r="C312" s="14" t="s">
        <v>1474</v>
      </c>
      <c r="D312" s="14" t="s">
        <v>44</v>
      </c>
      <c r="E312" s="14">
        <v>1807</v>
      </c>
      <c r="F312" s="15">
        <v>499.98</v>
      </c>
      <c r="G312" s="15">
        <v>903463.86</v>
      </c>
      <c r="H312" s="14" t="s">
        <v>1432</v>
      </c>
      <c r="I312" s="14" t="s">
        <v>1775</v>
      </c>
    </row>
    <row r="313" spans="1:9" ht="15" customHeight="1" x14ac:dyDescent="0.2">
      <c r="A313" s="14" t="s">
        <v>960</v>
      </c>
      <c r="B313" s="16">
        <v>45951</v>
      </c>
      <c r="C313" s="14" t="s">
        <v>1494</v>
      </c>
      <c r="D313" s="14" t="s">
        <v>42</v>
      </c>
      <c r="E313" s="14">
        <v>1262</v>
      </c>
      <c r="F313" s="15">
        <v>377.01</v>
      </c>
      <c r="G313" s="15">
        <v>475786.62</v>
      </c>
      <c r="H313" s="14" t="s">
        <v>1432</v>
      </c>
      <c r="I313" s="14" t="s">
        <v>1776</v>
      </c>
    </row>
    <row r="314" spans="1:9" ht="15" customHeight="1" x14ac:dyDescent="0.2">
      <c r="A314" s="14" t="s">
        <v>962</v>
      </c>
      <c r="B314" s="16">
        <v>45967</v>
      </c>
      <c r="C314" s="14" t="s">
        <v>1447</v>
      </c>
      <c r="D314" s="14" t="s">
        <v>36</v>
      </c>
      <c r="E314" s="14">
        <v>1992</v>
      </c>
      <c r="F314" s="15">
        <v>403.54</v>
      </c>
      <c r="G314" s="15">
        <v>803851.68</v>
      </c>
      <c r="H314" s="14" t="s">
        <v>1427</v>
      </c>
      <c r="I314" s="14" t="s">
        <v>1777</v>
      </c>
    </row>
    <row r="315" spans="1:9" ht="15" customHeight="1" x14ac:dyDescent="0.2">
      <c r="A315" s="14" t="s">
        <v>965</v>
      </c>
      <c r="B315" s="16">
        <v>46019</v>
      </c>
      <c r="C315" s="14" t="s">
        <v>1468</v>
      </c>
      <c r="D315" s="14" t="s">
        <v>39</v>
      </c>
      <c r="E315" s="14">
        <v>1814</v>
      </c>
      <c r="F315" s="15">
        <v>364.19</v>
      </c>
      <c r="G315" s="15">
        <v>660640.66</v>
      </c>
      <c r="H315" s="14" t="s">
        <v>1427</v>
      </c>
      <c r="I315" s="14" t="s">
        <v>1778</v>
      </c>
    </row>
    <row r="316" spans="1:9" ht="15" customHeight="1" x14ac:dyDescent="0.2">
      <c r="A316" s="14" t="s">
        <v>969</v>
      </c>
      <c r="B316" s="16">
        <v>45932</v>
      </c>
      <c r="C316" s="14" t="s">
        <v>1456</v>
      </c>
      <c r="D316" s="14" t="s">
        <v>39</v>
      </c>
      <c r="E316" s="14">
        <v>1300</v>
      </c>
      <c r="F316" s="15">
        <v>95.08</v>
      </c>
      <c r="G316" s="15">
        <v>123604</v>
      </c>
      <c r="H316" s="14" t="s">
        <v>1427</v>
      </c>
      <c r="I316" s="14" t="s">
        <v>1779</v>
      </c>
    </row>
    <row r="317" spans="1:9" ht="15" customHeight="1" x14ac:dyDescent="0.2">
      <c r="A317" s="14" t="s">
        <v>973</v>
      </c>
      <c r="B317" s="16">
        <v>45980</v>
      </c>
      <c r="C317" s="14" t="s">
        <v>1480</v>
      </c>
      <c r="D317" s="14" t="s">
        <v>39</v>
      </c>
      <c r="E317" s="14">
        <v>1689</v>
      </c>
      <c r="F317" s="15">
        <v>78.14</v>
      </c>
      <c r="G317" s="15">
        <v>131978.46</v>
      </c>
      <c r="H317" s="14" t="s">
        <v>1427</v>
      </c>
      <c r="I317" s="14" t="s">
        <v>1780</v>
      </c>
    </row>
    <row r="318" spans="1:9" ht="15" customHeight="1" x14ac:dyDescent="0.2">
      <c r="A318" s="14" t="s">
        <v>977</v>
      </c>
      <c r="B318" s="16">
        <v>45935</v>
      </c>
      <c r="C318" s="14" t="s">
        <v>1508</v>
      </c>
      <c r="D318" s="14" t="s">
        <v>42</v>
      </c>
      <c r="E318" s="14">
        <v>195</v>
      </c>
      <c r="F318" s="15">
        <v>233.73</v>
      </c>
      <c r="G318" s="15">
        <v>45577.35</v>
      </c>
      <c r="H318" s="14" t="s">
        <v>1432</v>
      </c>
      <c r="I318" s="14" t="s">
        <v>1781</v>
      </c>
    </row>
    <row r="319" spans="1:9" ht="15" customHeight="1" x14ac:dyDescent="0.2">
      <c r="A319" s="14" t="s">
        <v>979</v>
      </c>
      <c r="B319" s="16">
        <v>45949</v>
      </c>
      <c r="C319" s="14" t="s">
        <v>1452</v>
      </c>
      <c r="D319" s="14" t="s">
        <v>39</v>
      </c>
      <c r="E319" s="14">
        <v>925</v>
      </c>
      <c r="F319" s="15">
        <v>58.78</v>
      </c>
      <c r="G319" s="15">
        <v>54371.5</v>
      </c>
      <c r="H319" s="14" t="s">
        <v>1432</v>
      </c>
      <c r="I319" s="14" t="s">
        <v>1782</v>
      </c>
    </row>
    <row r="320" spans="1:9" ht="15" customHeight="1" x14ac:dyDescent="0.2">
      <c r="A320" s="14" t="s">
        <v>983</v>
      </c>
      <c r="B320" s="16">
        <v>46012</v>
      </c>
      <c r="C320" s="14" t="s">
        <v>1454</v>
      </c>
      <c r="D320" s="14" t="s">
        <v>36</v>
      </c>
      <c r="E320" s="14">
        <v>468</v>
      </c>
      <c r="F320" s="15">
        <v>86.68</v>
      </c>
      <c r="G320" s="15">
        <v>40566.239999999998</v>
      </c>
      <c r="H320" s="14" t="s">
        <v>1427</v>
      </c>
      <c r="I320" s="14" t="s">
        <v>1783</v>
      </c>
    </row>
    <row r="321" spans="1:9" ht="15" customHeight="1" x14ac:dyDescent="0.2">
      <c r="A321" s="14" t="s">
        <v>985</v>
      </c>
      <c r="B321" s="16">
        <v>45957</v>
      </c>
      <c r="C321" s="14" t="s">
        <v>1468</v>
      </c>
      <c r="D321" s="14" t="s">
        <v>45</v>
      </c>
      <c r="E321" s="14">
        <v>1486</v>
      </c>
      <c r="F321" s="15">
        <v>174.47</v>
      </c>
      <c r="G321" s="15">
        <v>259262.42</v>
      </c>
      <c r="H321" s="14" t="s">
        <v>1427</v>
      </c>
      <c r="I321" s="14" t="s">
        <v>1784</v>
      </c>
    </row>
    <row r="322" spans="1:9" ht="15" customHeight="1" x14ac:dyDescent="0.2">
      <c r="A322" s="14" t="s">
        <v>987</v>
      </c>
      <c r="B322" s="16">
        <v>45974</v>
      </c>
      <c r="C322" s="14" t="s">
        <v>1478</v>
      </c>
      <c r="D322" s="14" t="s">
        <v>36</v>
      </c>
      <c r="E322" s="14">
        <v>1441</v>
      </c>
      <c r="F322" s="15">
        <v>283.20999999999998</v>
      </c>
      <c r="G322" s="15">
        <v>408105.61</v>
      </c>
      <c r="H322" s="14" t="s">
        <v>1432</v>
      </c>
      <c r="I322" s="14" t="s">
        <v>1785</v>
      </c>
    </row>
    <row r="323" spans="1:9" ht="15" customHeight="1" x14ac:dyDescent="0.2">
      <c r="A323" s="14" t="s">
        <v>990</v>
      </c>
      <c r="B323" s="16">
        <v>45940</v>
      </c>
      <c r="C323" s="14" t="s">
        <v>1508</v>
      </c>
      <c r="D323" s="14" t="s">
        <v>44</v>
      </c>
      <c r="E323" s="14">
        <v>1839</v>
      </c>
      <c r="F323" s="15">
        <v>287.3</v>
      </c>
      <c r="G323" s="15">
        <v>528344.69999999995</v>
      </c>
      <c r="H323" s="14" t="s">
        <v>1432</v>
      </c>
      <c r="I323" s="14" t="s">
        <v>1786</v>
      </c>
    </row>
    <row r="324" spans="1:9" ht="15" customHeight="1" x14ac:dyDescent="0.2">
      <c r="A324" s="14" t="s">
        <v>992</v>
      </c>
      <c r="B324" s="16">
        <v>45989</v>
      </c>
      <c r="C324" s="14" t="s">
        <v>1466</v>
      </c>
      <c r="D324" s="14" t="s">
        <v>45</v>
      </c>
      <c r="E324" s="14">
        <v>1740</v>
      </c>
      <c r="F324" s="15">
        <v>21.71</v>
      </c>
      <c r="G324" s="15">
        <v>37775.4</v>
      </c>
      <c r="H324" s="14" t="s">
        <v>1432</v>
      </c>
      <c r="I324" s="14" t="s">
        <v>1787</v>
      </c>
    </row>
    <row r="325" spans="1:9" ht="15" customHeight="1" x14ac:dyDescent="0.2">
      <c r="A325" s="14" t="s">
        <v>994</v>
      </c>
      <c r="B325" s="16">
        <v>45952</v>
      </c>
      <c r="C325" s="14" t="s">
        <v>1447</v>
      </c>
      <c r="D325" s="14" t="s">
        <v>45</v>
      </c>
      <c r="E325" s="14">
        <v>1060</v>
      </c>
      <c r="F325" s="15">
        <v>455.96</v>
      </c>
      <c r="G325" s="15">
        <v>483317.6</v>
      </c>
      <c r="H325" s="14" t="s">
        <v>1432</v>
      </c>
      <c r="I325" s="14" t="s">
        <v>1788</v>
      </c>
    </row>
    <row r="326" spans="1:9" ht="15" customHeight="1" x14ac:dyDescent="0.2">
      <c r="A326" s="14" t="s">
        <v>997</v>
      </c>
      <c r="B326" s="16">
        <v>46018</v>
      </c>
      <c r="C326" s="14" t="s">
        <v>1452</v>
      </c>
      <c r="D326" s="14" t="s">
        <v>45</v>
      </c>
      <c r="E326" s="14">
        <v>1490</v>
      </c>
      <c r="F326" s="15">
        <v>66.58</v>
      </c>
      <c r="G326" s="15">
        <v>99204.2</v>
      </c>
      <c r="H326" s="14" t="s">
        <v>1432</v>
      </c>
      <c r="I326" s="14" t="s">
        <v>1789</v>
      </c>
    </row>
    <row r="327" spans="1:9" ht="15" customHeight="1" x14ac:dyDescent="0.2">
      <c r="A327" s="14" t="s">
        <v>999</v>
      </c>
      <c r="B327" s="16">
        <v>46015</v>
      </c>
      <c r="C327" s="14" t="s">
        <v>1480</v>
      </c>
      <c r="D327" s="14" t="s">
        <v>36</v>
      </c>
      <c r="E327" s="14">
        <v>1059</v>
      </c>
      <c r="F327" s="15">
        <v>263.7</v>
      </c>
      <c r="G327" s="15">
        <v>279258.3</v>
      </c>
      <c r="H327" s="14" t="s">
        <v>1427</v>
      </c>
      <c r="I327" s="14" t="s">
        <v>1790</v>
      </c>
    </row>
    <row r="328" spans="1:9" ht="15" customHeight="1" x14ac:dyDescent="0.2">
      <c r="A328" s="14" t="s">
        <v>1001</v>
      </c>
      <c r="B328" s="16">
        <v>45975</v>
      </c>
      <c r="C328" s="14" t="s">
        <v>1468</v>
      </c>
      <c r="D328" s="14" t="s">
        <v>47</v>
      </c>
      <c r="E328" s="14">
        <v>1366</v>
      </c>
      <c r="F328" s="15">
        <v>477.85</v>
      </c>
      <c r="G328" s="15">
        <v>652743.1</v>
      </c>
      <c r="H328" s="14" t="s">
        <v>1432</v>
      </c>
      <c r="I328" s="14" t="s">
        <v>1791</v>
      </c>
    </row>
    <row r="329" spans="1:9" ht="15" customHeight="1" x14ac:dyDescent="0.2">
      <c r="A329" s="14" t="s">
        <v>1003</v>
      </c>
      <c r="B329" s="16">
        <v>46011</v>
      </c>
      <c r="C329" s="14" t="s">
        <v>1447</v>
      </c>
      <c r="D329" s="14" t="s">
        <v>46</v>
      </c>
      <c r="E329" s="14">
        <v>1073</v>
      </c>
      <c r="F329" s="15">
        <v>156.86000000000001</v>
      </c>
      <c r="G329" s="15">
        <v>168310.78</v>
      </c>
      <c r="H329" s="14" t="s">
        <v>1432</v>
      </c>
      <c r="I329" s="14" t="s">
        <v>1792</v>
      </c>
    </row>
    <row r="330" spans="1:9" ht="15" customHeight="1" x14ac:dyDescent="0.2">
      <c r="A330" s="14" t="s">
        <v>1006</v>
      </c>
      <c r="B330" s="16">
        <v>45956</v>
      </c>
      <c r="C330" s="14" t="s">
        <v>1468</v>
      </c>
      <c r="D330" s="14" t="s">
        <v>36</v>
      </c>
      <c r="E330" s="14">
        <v>1246</v>
      </c>
      <c r="F330" s="15">
        <v>337.08</v>
      </c>
      <c r="G330" s="15">
        <v>420001.68</v>
      </c>
      <c r="H330" s="14" t="s">
        <v>1432</v>
      </c>
      <c r="I330" s="14" t="s">
        <v>1793</v>
      </c>
    </row>
    <row r="331" spans="1:9" ht="15" customHeight="1" x14ac:dyDescent="0.2">
      <c r="A331" s="14" t="s">
        <v>1008</v>
      </c>
      <c r="B331" s="16">
        <v>46001</v>
      </c>
      <c r="C331" s="14" t="s">
        <v>1468</v>
      </c>
      <c r="D331" s="14" t="s">
        <v>42</v>
      </c>
      <c r="E331" s="14">
        <v>414</v>
      </c>
      <c r="F331" s="15">
        <v>211.61</v>
      </c>
      <c r="G331" s="15">
        <v>87606.54</v>
      </c>
      <c r="H331" s="14" t="s">
        <v>1427</v>
      </c>
      <c r="I331" s="14" t="s">
        <v>1794</v>
      </c>
    </row>
    <row r="332" spans="1:9" ht="15" customHeight="1" x14ac:dyDescent="0.2">
      <c r="A332" s="14" t="s">
        <v>1010</v>
      </c>
      <c r="B332" s="16">
        <v>45955</v>
      </c>
      <c r="C332" s="14" t="s">
        <v>1452</v>
      </c>
      <c r="D332" s="14" t="s">
        <v>45</v>
      </c>
      <c r="E332" s="14">
        <v>278</v>
      </c>
      <c r="F332" s="15">
        <v>186.23</v>
      </c>
      <c r="G332" s="15">
        <v>51771.94</v>
      </c>
      <c r="H332" s="14" t="s">
        <v>1427</v>
      </c>
      <c r="I332" s="14" t="s">
        <v>1795</v>
      </c>
    </row>
    <row r="333" spans="1:9" ht="15" customHeight="1" x14ac:dyDescent="0.2">
      <c r="A333" s="14" t="s">
        <v>1012</v>
      </c>
      <c r="B333" s="16">
        <v>45970</v>
      </c>
      <c r="C333" s="14" t="s">
        <v>1510</v>
      </c>
      <c r="D333" s="14" t="s">
        <v>44</v>
      </c>
      <c r="E333" s="14">
        <v>735</v>
      </c>
      <c r="F333" s="15">
        <v>412.91</v>
      </c>
      <c r="G333" s="15">
        <v>303488.84999999998</v>
      </c>
      <c r="H333" s="14" t="s">
        <v>1427</v>
      </c>
      <c r="I333" s="14" t="s">
        <v>1796</v>
      </c>
    </row>
    <row r="334" spans="1:9" ht="15" customHeight="1" x14ac:dyDescent="0.2">
      <c r="A334" s="14" t="s">
        <v>1015</v>
      </c>
      <c r="B334" s="16">
        <v>45971</v>
      </c>
      <c r="C334" s="14" t="s">
        <v>1508</v>
      </c>
      <c r="D334" s="14" t="s">
        <v>39</v>
      </c>
      <c r="E334" s="14">
        <v>1951</v>
      </c>
      <c r="F334" s="15">
        <v>165.46</v>
      </c>
      <c r="G334" s="15">
        <v>322812.46000000002</v>
      </c>
      <c r="H334" s="14" t="s">
        <v>1427</v>
      </c>
      <c r="I334" s="14" t="s">
        <v>1797</v>
      </c>
    </row>
    <row r="335" spans="1:9" ht="15" customHeight="1" x14ac:dyDescent="0.2">
      <c r="A335" s="14" t="s">
        <v>1019</v>
      </c>
      <c r="B335" s="16">
        <v>45942</v>
      </c>
      <c r="C335" s="14" t="s">
        <v>1454</v>
      </c>
      <c r="D335" s="14" t="s">
        <v>39</v>
      </c>
      <c r="E335" s="14">
        <v>611</v>
      </c>
      <c r="F335" s="15">
        <v>207.66</v>
      </c>
      <c r="G335" s="15">
        <v>126880.26</v>
      </c>
      <c r="H335" s="14" t="s">
        <v>1432</v>
      </c>
      <c r="I335" s="14" t="s">
        <v>1798</v>
      </c>
    </row>
    <row r="336" spans="1:9" ht="15" customHeight="1" x14ac:dyDescent="0.2">
      <c r="A336" s="14" t="s">
        <v>1023</v>
      </c>
      <c r="B336" s="16">
        <v>45934</v>
      </c>
      <c r="C336" s="14" t="s">
        <v>1478</v>
      </c>
      <c r="D336" s="14" t="s">
        <v>47</v>
      </c>
      <c r="E336" s="14">
        <v>23</v>
      </c>
      <c r="F336" s="15">
        <v>452.39</v>
      </c>
      <c r="G336" s="15">
        <v>10404.969999999999</v>
      </c>
      <c r="H336" s="14" t="s">
        <v>1432</v>
      </c>
      <c r="I336" s="14" t="s">
        <v>1799</v>
      </c>
    </row>
    <row r="337" spans="1:9" ht="15" customHeight="1" x14ac:dyDescent="0.2">
      <c r="A337" s="14" t="s">
        <v>1025</v>
      </c>
      <c r="B337" s="16">
        <v>46015</v>
      </c>
      <c r="C337" s="14" t="s">
        <v>1447</v>
      </c>
      <c r="D337" s="14" t="s">
        <v>44</v>
      </c>
      <c r="E337" s="14">
        <v>1417</v>
      </c>
      <c r="F337" s="15">
        <v>27.45</v>
      </c>
      <c r="G337" s="15">
        <v>38896.65</v>
      </c>
      <c r="H337" s="14" t="s">
        <v>1432</v>
      </c>
      <c r="I337" s="14" t="s">
        <v>1800</v>
      </c>
    </row>
    <row r="338" spans="1:9" ht="15" customHeight="1" x14ac:dyDescent="0.2">
      <c r="A338" s="14" t="s">
        <v>1027</v>
      </c>
      <c r="B338" s="16">
        <v>46019</v>
      </c>
      <c r="C338" s="14" t="s">
        <v>1456</v>
      </c>
      <c r="D338" s="14" t="s">
        <v>36</v>
      </c>
      <c r="E338" s="14">
        <v>1848</v>
      </c>
      <c r="F338" s="15">
        <v>279.02</v>
      </c>
      <c r="G338" s="15">
        <v>515628.96</v>
      </c>
      <c r="H338" s="14" t="s">
        <v>1427</v>
      </c>
      <c r="I338" s="14" t="s">
        <v>1801</v>
      </c>
    </row>
    <row r="339" spans="1:9" ht="15" customHeight="1" x14ac:dyDescent="0.2">
      <c r="A339" s="14" t="s">
        <v>1029</v>
      </c>
      <c r="B339" s="16">
        <v>45955</v>
      </c>
      <c r="C339" s="14" t="s">
        <v>1449</v>
      </c>
      <c r="D339" s="14" t="s">
        <v>46</v>
      </c>
      <c r="E339" s="14">
        <v>1287</v>
      </c>
      <c r="F339" s="15">
        <v>437.53</v>
      </c>
      <c r="G339" s="15">
        <v>563101.11</v>
      </c>
      <c r="H339" s="14" t="s">
        <v>1432</v>
      </c>
      <c r="I339" s="14" t="s">
        <v>1802</v>
      </c>
    </row>
    <row r="340" spans="1:9" ht="15" customHeight="1" x14ac:dyDescent="0.2">
      <c r="A340" s="14" t="s">
        <v>1031</v>
      </c>
      <c r="B340" s="16">
        <v>45937</v>
      </c>
      <c r="C340" s="14" t="s">
        <v>1478</v>
      </c>
      <c r="D340" s="14" t="s">
        <v>36</v>
      </c>
      <c r="E340" s="14">
        <v>974</v>
      </c>
      <c r="F340" s="15">
        <v>310.77</v>
      </c>
      <c r="G340" s="15">
        <v>302689.98</v>
      </c>
      <c r="H340" s="14" t="s">
        <v>1432</v>
      </c>
      <c r="I340" s="14" t="s">
        <v>1803</v>
      </c>
    </row>
    <row r="341" spans="1:9" ht="15" customHeight="1" x14ac:dyDescent="0.2">
      <c r="A341" s="14" t="s">
        <v>1033</v>
      </c>
      <c r="B341" s="16">
        <v>45983</v>
      </c>
      <c r="C341" s="14" t="s">
        <v>1478</v>
      </c>
      <c r="D341" s="14" t="s">
        <v>46</v>
      </c>
      <c r="E341" s="14">
        <v>1931</v>
      </c>
      <c r="F341" s="15">
        <v>266.75</v>
      </c>
      <c r="G341" s="15">
        <v>515094.25</v>
      </c>
      <c r="H341" s="14" t="s">
        <v>1427</v>
      </c>
      <c r="I341" s="14" t="s">
        <v>1804</v>
      </c>
    </row>
    <row r="342" spans="1:9" ht="15" customHeight="1" x14ac:dyDescent="0.2">
      <c r="A342" s="14" t="s">
        <v>1035</v>
      </c>
      <c r="B342" s="16">
        <v>45939</v>
      </c>
      <c r="C342" s="14" t="s">
        <v>1445</v>
      </c>
      <c r="D342" s="14" t="s">
        <v>45</v>
      </c>
      <c r="E342" s="14">
        <v>745</v>
      </c>
      <c r="F342" s="15">
        <v>142.68</v>
      </c>
      <c r="G342" s="15">
        <v>106296.6</v>
      </c>
      <c r="H342" s="14" t="s">
        <v>1427</v>
      </c>
      <c r="I342" s="14" t="s">
        <v>1805</v>
      </c>
    </row>
    <row r="343" spans="1:9" ht="15" customHeight="1" x14ac:dyDescent="0.2">
      <c r="A343" s="14" t="s">
        <v>1037</v>
      </c>
      <c r="B343" s="16">
        <v>45981</v>
      </c>
      <c r="C343" s="14" t="s">
        <v>1494</v>
      </c>
      <c r="D343" s="14" t="s">
        <v>36</v>
      </c>
      <c r="E343" s="14">
        <v>1017</v>
      </c>
      <c r="F343" s="15">
        <v>402.9</v>
      </c>
      <c r="G343" s="15">
        <v>409749.3</v>
      </c>
      <c r="H343" s="14" t="s">
        <v>1432</v>
      </c>
      <c r="I343" s="14" t="s">
        <v>1806</v>
      </c>
    </row>
    <row r="344" spans="1:9" ht="15" customHeight="1" x14ac:dyDescent="0.2">
      <c r="A344" s="14" t="s">
        <v>1039</v>
      </c>
      <c r="B344" s="16">
        <v>45976</v>
      </c>
      <c r="C344" s="14" t="s">
        <v>1449</v>
      </c>
      <c r="D344" s="14" t="s">
        <v>36</v>
      </c>
      <c r="E344" s="14">
        <v>552</v>
      </c>
      <c r="F344" s="15">
        <v>65.8</v>
      </c>
      <c r="G344" s="15">
        <v>36321.599999999999</v>
      </c>
      <c r="H344" s="14" t="s">
        <v>1432</v>
      </c>
      <c r="I344" s="14" t="s">
        <v>1807</v>
      </c>
    </row>
    <row r="345" spans="1:9" ht="15" customHeight="1" x14ac:dyDescent="0.2">
      <c r="A345" s="14" t="s">
        <v>1041</v>
      </c>
      <c r="B345" s="16">
        <v>46017</v>
      </c>
      <c r="C345" s="14" t="s">
        <v>1458</v>
      </c>
      <c r="D345" s="14" t="s">
        <v>45</v>
      </c>
      <c r="E345" s="14">
        <v>1332</v>
      </c>
      <c r="F345" s="15">
        <v>136.05000000000001</v>
      </c>
      <c r="G345" s="15">
        <v>181218.6</v>
      </c>
      <c r="H345" s="14" t="s">
        <v>1432</v>
      </c>
      <c r="I345" s="14" t="s">
        <v>1808</v>
      </c>
    </row>
    <row r="346" spans="1:9" ht="15" customHeight="1" x14ac:dyDescent="0.2">
      <c r="A346" s="14" t="s">
        <v>1043</v>
      </c>
      <c r="B346" s="16">
        <v>45985</v>
      </c>
      <c r="C346" s="14" t="s">
        <v>1478</v>
      </c>
      <c r="D346" s="14" t="s">
        <v>46</v>
      </c>
      <c r="E346" s="14">
        <v>921</v>
      </c>
      <c r="F346" s="15">
        <v>203.8</v>
      </c>
      <c r="G346" s="15">
        <v>187699.8</v>
      </c>
      <c r="H346" s="14" t="s">
        <v>1432</v>
      </c>
      <c r="I346" s="14" t="s">
        <v>1809</v>
      </c>
    </row>
    <row r="347" spans="1:9" ht="15" customHeight="1" x14ac:dyDescent="0.2">
      <c r="A347" s="14" t="s">
        <v>1045</v>
      </c>
      <c r="B347" s="16">
        <v>45936</v>
      </c>
      <c r="C347" s="14" t="s">
        <v>1447</v>
      </c>
      <c r="D347" s="14" t="s">
        <v>39</v>
      </c>
      <c r="E347" s="14">
        <v>1130</v>
      </c>
      <c r="F347" s="15">
        <v>446.24</v>
      </c>
      <c r="G347" s="15">
        <v>504251.2</v>
      </c>
      <c r="H347" s="14" t="s">
        <v>1432</v>
      </c>
      <c r="I347" s="14" t="s">
        <v>1810</v>
      </c>
    </row>
    <row r="348" spans="1:9" ht="15" customHeight="1" x14ac:dyDescent="0.2">
      <c r="A348" s="14" t="s">
        <v>1049</v>
      </c>
      <c r="B348" s="16">
        <v>45937</v>
      </c>
      <c r="C348" s="14" t="s">
        <v>1447</v>
      </c>
      <c r="D348" s="14" t="s">
        <v>42</v>
      </c>
      <c r="E348" s="14">
        <v>1770</v>
      </c>
      <c r="F348" s="15">
        <v>87.67</v>
      </c>
      <c r="G348" s="15">
        <v>155175.9</v>
      </c>
      <c r="H348" s="14" t="s">
        <v>1432</v>
      </c>
      <c r="I348" s="14" t="s">
        <v>1811</v>
      </c>
    </row>
    <row r="349" spans="1:9" ht="15" customHeight="1" x14ac:dyDescent="0.2">
      <c r="A349" s="14" t="s">
        <v>1051</v>
      </c>
      <c r="B349" s="16">
        <v>45936</v>
      </c>
      <c r="C349" s="14" t="s">
        <v>1456</v>
      </c>
      <c r="D349" s="14" t="s">
        <v>42</v>
      </c>
      <c r="E349" s="14">
        <v>957</v>
      </c>
      <c r="F349" s="15">
        <v>82.03</v>
      </c>
      <c r="G349" s="15">
        <v>78502.710000000006</v>
      </c>
      <c r="H349" s="14" t="s">
        <v>1432</v>
      </c>
      <c r="I349" s="14" t="s">
        <v>1812</v>
      </c>
    </row>
    <row r="350" spans="1:9" ht="15" customHeight="1" x14ac:dyDescent="0.2">
      <c r="A350" s="14" t="s">
        <v>1053</v>
      </c>
      <c r="B350" s="16">
        <v>46001</v>
      </c>
      <c r="C350" s="14" t="s">
        <v>1478</v>
      </c>
      <c r="D350" s="14" t="s">
        <v>39</v>
      </c>
      <c r="E350" s="14">
        <v>321</v>
      </c>
      <c r="F350" s="15">
        <v>258.62</v>
      </c>
      <c r="G350" s="15">
        <v>83017.02</v>
      </c>
      <c r="H350" s="14" t="s">
        <v>1427</v>
      </c>
      <c r="I350" s="14" t="s">
        <v>1813</v>
      </c>
    </row>
    <row r="351" spans="1:9" ht="15" customHeight="1" x14ac:dyDescent="0.2">
      <c r="A351" s="14" t="s">
        <v>1057</v>
      </c>
      <c r="B351" s="16">
        <v>45933</v>
      </c>
      <c r="C351" s="14" t="s">
        <v>1454</v>
      </c>
      <c r="D351" s="14" t="s">
        <v>45</v>
      </c>
      <c r="E351" s="14">
        <v>1572</v>
      </c>
      <c r="F351" s="15">
        <v>53.36</v>
      </c>
      <c r="G351" s="15">
        <v>83881.919999999998</v>
      </c>
      <c r="H351" s="14" t="s">
        <v>1427</v>
      </c>
      <c r="I351" s="14" t="s">
        <v>1814</v>
      </c>
    </row>
    <row r="352" spans="1:9" ht="15" customHeight="1" x14ac:dyDescent="0.2">
      <c r="A352" s="14" t="s">
        <v>1059</v>
      </c>
      <c r="B352" s="16">
        <v>45982</v>
      </c>
      <c r="C352" s="14" t="s">
        <v>1478</v>
      </c>
      <c r="D352" s="14" t="s">
        <v>42</v>
      </c>
      <c r="E352" s="14">
        <v>1023</v>
      </c>
      <c r="F352" s="15">
        <v>461.35</v>
      </c>
      <c r="G352" s="15">
        <v>471961.05</v>
      </c>
      <c r="H352" s="14" t="s">
        <v>1432</v>
      </c>
      <c r="I352" s="14" t="s">
        <v>1815</v>
      </c>
    </row>
    <row r="353" spans="1:9" ht="15" customHeight="1" x14ac:dyDescent="0.2">
      <c r="A353" s="14" t="s">
        <v>1061</v>
      </c>
      <c r="B353" s="16">
        <v>45936</v>
      </c>
      <c r="C353" s="14" t="s">
        <v>1494</v>
      </c>
      <c r="D353" s="14" t="s">
        <v>36</v>
      </c>
      <c r="E353" s="14">
        <v>1570</v>
      </c>
      <c r="F353" s="15">
        <v>150.76</v>
      </c>
      <c r="G353" s="15">
        <v>236693.2</v>
      </c>
      <c r="H353" s="14" t="s">
        <v>1427</v>
      </c>
      <c r="I353" s="14" t="s">
        <v>1816</v>
      </c>
    </row>
    <row r="354" spans="1:9" ht="15" customHeight="1" x14ac:dyDescent="0.2">
      <c r="A354" s="14" t="s">
        <v>1063</v>
      </c>
      <c r="B354" s="16">
        <v>46018</v>
      </c>
      <c r="C354" s="14" t="s">
        <v>1449</v>
      </c>
      <c r="D354" s="14" t="s">
        <v>44</v>
      </c>
      <c r="E354" s="14">
        <v>1981</v>
      </c>
      <c r="F354" s="15">
        <v>83.32</v>
      </c>
      <c r="G354" s="15">
        <v>165056.92000000001</v>
      </c>
      <c r="H354" s="14" t="s">
        <v>1432</v>
      </c>
      <c r="I354" s="14" t="s">
        <v>1817</v>
      </c>
    </row>
    <row r="355" spans="1:9" ht="15" customHeight="1" x14ac:dyDescent="0.2">
      <c r="A355" s="14" t="s">
        <v>1065</v>
      </c>
      <c r="B355" s="16">
        <v>45949</v>
      </c>
      <c r="C355" s="14" t="s">
        <v>1468</v>
      </c>
      <c r="D355" s="14" t="s">
        <v>36</v>
      </c>
      <c r="E355" s="14">
        <v>1958</v>
      </c>
      <c r="F355" s="15">
        <v>327.42</v>
      </c>
      <c r="G355" s="15">
        <v>641088.36</v>
      </c>
      <c r="H355" s="14" t="s">
        <v>1427</v>
      </c>
      <c r="I355" s="14" t="s">
        <v>1818</v>
      </c>
    </row>
    <row r="356" spans="1:9" ht="15" customHeight="1" x14ac:dyDescent="0.2">
      <c r="A356" s="14" t="s">
        <v>1067</v>
      </c>
      <c r="B356" s="16">
        <v>45957</v>
      </c>
      <c r="C356" s="14" t="s">
        <v>1508</v>
      </c>
      <c r="D356" s="14" t="s">
        <v>44</v>
      </c>
      <c r="E356" s="14">
        <v>319</v>
      </c>
      <c r="F356" s="15">
        <v>356.56</v>
      </c>
      <c r="G356" s="15">
        <v>113742.64</v>
      </c>
      <c r="H356" s="14" t="s">
        <v>1432</v>
      </c>
      <c r="I356" s="14" t="s">
        <v>1819</v>
      </c>
    </row>
    <row r="357" spans="1:9" ht="15" customHeight="1" x14ac:dyDescent="0.2">
      <c r="A357" s="14" t="s">
        <v>1069</v>
      </c>
      <c r="B357" s="16">
        <v>45973</v>
      </c>
      <c r="C357" s="14" t="s">
        <v>1454</v>
      </c>
      <c r="D357" s="14" t="s">
        <v>44</v>
      </c>
      <c r="E357" s="14">
        <v>359</v>
      </c>
      <c r="F357" s="15">
        <v>226.76</v>
      </c>
      <c r="G357" s="15">
        <v>81406.84</v>
      </c>
      <c r="H357" s="14" t="s">
        <v>1427</v>
      </c>
      <c r="I357" s="14" t="s">
        <v>1820</v>
      </c>
    </row>
    <row r="358" spans="1:9" ht="15" customHeight="1" x14ac:dyDescent="0.2">
      <c r="A358" s="14" t="s">
        <v>1072</v>
      </c>
      <c r="B358" s="16">
        <v>46003</v>
      </c>
      <c r="C358" s="14" t="s">
        <v>1452</v>
      </c>
      <c r="D358" s="14" t="s">
        <v>44</v>
      </c>
      <c r="E358" s="14">
        <v>1773</v>
      </c>
      <c r="F358" s="15">
        <v>4.8600000000000003</v>
      </c>
      <c r="G358" s="15">
        <v>8616.7800000000007</v>
      </c>
      <c r="H358" s="14" t="s">
        <v>1432</v>
      </c>
      <c r="I358" s="14" t="s">
        <v>1821</v>
      </c>
    </row>
    <row r="359" spans="1:9" ht="15" customHeight="1" x14ac:dyDescent="0.2">
      <c r="A359" s="14" t="s">
        <v>1074</v>
      </c>
      <c r="B359" s="16">
        <v>45998</v>
      </c>
      <c r="C359" s="14" t="s">
        <v>1447</v>
      </c>
      <c r="D359" s="14" t="s">
        <v>39</v>
      </c>
      <c r="E359" s="14">
        <v>1161</v>
      </c>
      <c r="F359" s="15">
        <v>122.99</v>
      </c>
      <c r="G359" s="15">
        <v>142791.39000000001</v>
      </c>
      <c r="H359" s="14" t="s">
        <v>1427</v>
      </c>
      <c r="I359" s="14" t="s">
        <v>1822</v>
      </c>
    </row>
    <row r="360" spans="1:9" ht="15" customHeight="1" x14ac:dyDescent="0.2">
      <c r="A360" s="14" t="s">
        <v>1078</v>
      </c>
      <c r="B360" s="16">
        <v>46009</v>
      </c>
      <c r="C360" s="14" t="s">
        <v>1468</v>
      </c>
      <c r="D360" s="14" t="s">
        <v>47</v>
      </c>
      <c r="E360" s="14">
        <v>1856</v>
      </c>
      <c r="F360" s="15">
        <v>177.81</v>
      </c>
      <c r="G360" s="15">
        <v>330015.35999999999</v>
      </c>
      <c r="H360" s="14" t="s">
        <v>1427</v>
      </c>
      <c r="I360" s="14" t="s">
        <v>1823</v>
      </c>
    </row>
    <row r="361" spans="1:9" ht="15" customHeight="1" x14ac:dyDescent="0.2">
      <c r="A361" s="14" t="s">
        <v>1080</v>
      </c>
      <c r="B361" s="16">
        <v>46010</v>
      </c>
      <c r="C361" s="14" t="s">
        <v>1456</v>
      </c>
      <c r="D361" s="14" t="s">
        <v>39</v>
      </c>
      <c r="E361" s="14">
        <v>85</v>
      </c>
      <c r="F361" s="15">
        <v>490.18</v>
      </c>
      <c r="G361" s="15">
        <v>41665.300000000003</v>
      </c>
      <c r="H361" s="14" t="s">
        <v>1432</v>
      </c>
      <c r="I361" s="14" t="s">
        <v>1824</v>
      </c>
    </row>
    <row r="362" spans="1:9" ht="15" customHeight="1" x14ac:dyDescent="0.2">
      <c r="A362" s="14" t="s">
        <v>1084</v>
      </c>
      <c r="B362" s="16">
        <v>45963</v>
      </c>
      <c r="C362" s="14" t="s">
        <v>1466</v>
      </c>
      <c r="D362" s="14" t="s">
        <v>47</v>
      </c>
      <c r="E362" s="14">
        <v>1695</v>
      </c>
      <c r="F362" s="15">
        <v>99.67</v>
      </c>
      <c r="G362" s="15">
        <v>168940.65</v>
      </c>
      <c r="H362" s="14" t="s">
        <v>1432</v>
      </c>
      <c r="I362" s="14" t="s">
        <v>1825</v>
      </c>
    </row>
    <row r="363" spans="1:9" ht="15" customHeight="1" x14ac:dyDescent="0.2">
      <c r="A363" s="14" t="s">
        <v>1086</v>
      </c>
      <c r="B363" s="16">
        <v>45983</v>
      </c>
      <c r="C363" s="14" t="s">
        <v>1468</v>
      </c>
      <c r="D363" s="14" t="s">
        <v>44</v>
      </c>
      <c r="E363" s="14">
        <v>1322</v>
      </c>
      <c r="F363" s="15">
        <v>417.88</v>
      </c>
      <c r="G363" s="15">
        <v>552437.36</v>
      </c>
      <c r="H363" s="14" t="s">
        <v>1427</v>
      </c>
      <c r="I363" s="14" t="s">
        <v>1826</v>
      </c>
    </row>
    <row r="364" spans="1:9" ht="15" customHeight="1" x14ac:dyDescent="0.2">
      <c r="A364" s="14" t="s">
        <v>1089</v>
      </c>
      <c r="B364" s="16">
        <v>46001</v>
      </c>
      <c r="C364" s="14" t="s">
        <v>1478</v>
      </c>
      <c r="D364" s="14" t="s">
        <v>46</v>
      </c>
      <c r="E364" s="14">
        <v>1165</v>
      </c>
      <c r="F364" s="15">
        <v>334.13</v>
      </c>
      <c r="G364" s="15">
        <v>389261.45</v>
      </c>
      <c r="H364" s="14" t="s">
        <v>1432</v>
      </c>
      <c r="I364" s="14" t="s">
        <v>1827</v>
      </c>
    </row>
    <row r="365" spans="1:9" ht="15" customHeight="1" x14ac:dyDescent="0.2">
      <c r="A365" s="14" t="s">
        <v>1091</v>
      </c>
      <c r="B365" s="16">
        <v>45989</v>
      </c>
      <c r="C365" s="14" t="s">
        <v>1447</v>
      </c>
      <c r="D365" s="14" t="s">
        <v>42</v>
      </c>
      <c r="E365" s="14">
        <v>361</v>
      </c>
      <c r="F365" s="15">
        <v>98.71</v>
      </c>
      <c r="G365" s="15">
        <v>35634.31</v>
      </c>
      <c r="H365" s="14" t="s">
        <v>1432</v>
      </c>
      <c r="I365" s="14" t="s">
        <v>1828</v>
      </c>
    </row>
    <row r="366" spans="1:9" ht="15" customHeight="1" x14ac:dyDescent="0.2">
      <c r="A366" s="14" t="s">
        <v>1093</v>
      </c>
      <c r="B366" s="16">
        <v>45975</v>
      </c>
      <c r="C366" s="14" t="s">
        <v>1474</v>
      </c>
      <c r="D366" s="14" t="s">
        <v>46</v>
      </c>
      <c r="E366" s="14">
        <v>742</v>
      </c>
      <c r="F366" s="15">
        <v>383.1</v>
      </c>
      <c r="G366" s="15">
        <v>284260.2</v>
      </c>
      <c r="H366" s="14" t="s">
        <v>1427</v>
      </c>
      <c r="I366" s="14" t="s">
        <v>1829</v>
      </c>
    </row>
    <row r="367" spans="1:9" ht="15" customHeight="1" x14ac:dyDescent="0.2">
      <c r="A367" s="14" t="s">
        <v>1095</v>
      </c>
      <c r="B367" s="16">
        <v>45986</v>
      </c>
      <c r="C367" s="14" t="s">
        <v>1445</v>
      </c>
      <c r="D367" s="14" t="s">
        <v>46</v>
      </c>
      <c r="E367" s="14">
        <v>311</v>
      </c>
      <c r="F367" s="15">
        <v>17.37</v>
      </c>
      <c r="G367" s="15">
        <v>5402.07</v>
      </c>
      <c r="H367" s="14" t="s">
        <v>1432</v>
      </c>
      <c r="I367" s="14" t="s">
        <v>1830</v>
      </c>
    </row>
    <row r="368" spans="1:9" ht="15" customHeight="1" x14ac:dyDescent="0.2">
      <c r="A368" s="14" t="s">
        <v>1097</v>
      </c>
      <c r="B368" s="16">
        <v>45988</v>
      </c>
      <c r="C368" s="14" t="s">
        <v>1478</v>
      </c>
      <c r="D368" s="14" t="s">
        <v>46</v>
      </c>
      <c r="E368" s="14">
        <v>352</v>
      </c>
      <c r="F368" s="15">
        <v>425.54</v>
      </c>
      <c r="G368" s="15">
        <v>149790.07999999999</v>
      </c>
      <c r="H368" s="14" t="s">
        <v>1432</v>
      </c>
      <c r="I368" s="14" t="s">
        <v>1831</v>
      </c>
    </row>
    <row r="369" spans="1:9" ht="15" customHeight="1" x14ac:dyDescent="0.2">
      <c r="A369" s="14" t="s">
        <v>1099</v>
      </c>
      <c r="B369" s="16">
        <v>45940</v>
      </c>
      <c r="C369" s="14" t="s">
        <v>1508</v>
      </c>
      <c r="D369" s="14" t="s">
        <v>46</v>
      </c>
      <c r="E369" s="14">
        <v>1081</v>
      </c>
      <c r="F369" s="15">
        <v>339.92</v>
      </c>
      <c r="G369" s="15">
        <v>367453.52</v>
      </c>
      <c r="H369" s="14" t="s">
        <v>1432</v>
      </c>
      <c r="I369" s="14" t="s">
        <v>1832</v>
      </c>
    </row>
    <row r="370" spans="1:9" ht="15" customHeight="1" x14ac:dyDescent="0.2">
      <c r="A370" s="14" t="s">
        <v>1101</v>
      </c>
      <c r="B370" s="16">
        <v>45965</v>
      </c>
      <c r="C370" s="14" t="s">
        <v>1466</v>
      </c>
      <c r="D370" s="14" t="s">
        <v>36</v>
      </c>
      <c r="E370" s="14">
        <v>741</v>
      </c>
      <c r="F370" s="15">
        <v>168.01</v>
      </c>
      <c r="G370" s="15">
        <v>124495.41</v>
      </c>
      <c r="H370" s="14" t="s">
        <v>1427</v>
      </c>
      <c r="I370" s="14" t="s">
        <v>1833</v>
      </c>
    </row>
    <row r="371" spans="1:9" ht="15" customHeight="1" x14ac:dyDescent="0.2">
      <c r="A371" s="14" t="s">
        <v>1103</v>
      </c>
      <c r="B371" s="16">
        <v>45964</v>
      </c>
      <c r="C371" s="14" t="s">
        <v>1452</v>
      </c>
      <c r="D371" s="14" t="s">
        <v>39</v>
      </c>
      <c r="E371" s="14">
        <v>604</v>
      </c>
      <c r="F371" s="15">
        <v>40.630000000000003</v>
      </c>
      <c r="G371" s="15">
        <v>24540.52</v>
      </c>
      <c r="H371" s="14" t="s">
        <v>1427</v>
      </c>
      <c r="I371" s="14" t="s">
        <v>1834</v>
      </c>
    </row>
    <row r="372" spans="1:9" ht="15" customHeight="1" x14ac:dyDescent="0.2">
      <c r="A372" s="14" t="s">
        <v>1107</v>
      </c>
      <c r="B372" s="16">
        <v>45997</v>
      </c>
      <c r="C372" s="14" t="s">
        <v>1474</v>
      </c>
      <c r="D372" s="14" t="s">
        <v>46</v>
      </c>
      <c r="E372" s="14">
        <v>1630</v>
      </c>
      <c r="F372" s="15">
        <v>208.63</v>
      </c>
      <c r="G372" s="15">
        <v>340066.9</v>
      </c>
      <c r="H372" s="14" t="s">
        <v>1427</v>
      </c>
      <c r="I372" s="14" t="s">
        <v>1835</v>
      </c>
    </row>
    <row r="373" spans="1:9" ht="15" customHeight="1" x14ac:dyDescent="0.2">
      <c r="A373" s="14" t="s">
        <v>1109</v>
      </c>
      <c r="B373" s="16">
        <v>45972</v>
      </c>
      <c r="C373" s="14" t="s">
        <v>1478</v>
      </c>
      <c r="D373" s="14" t="s">
        <v>46</v>
      </c>
      <c r="E373" s="14">
        <v>1674</v>
      </c>
      <c r="F373" s="15">
        <v>379.75</v>
      </c>
      <c r="G373" s="15">
        <v>635701.5</v>
      </c>
      <c r="H373" s="14" t="s">
        <v>1432</v>
      </c>
      <c r="I373" s="14" t="s">
        <v>1836</v>
      </c>
    </row>
    <row r="374" spans="1:9" ht="15" customHeight="1" x14ac:dyDescent="0.2">
      <c r="A374" s="14" t="s">
        <v>1111</v>
      </c>
      <c r="B374" s="16">
        <v>45954</v>
      </c>
      <c r="C374" s="14" t="s">
        <v>1466</v>
      </c>
      <c r="D374" s="14" t="s">
        <v>36</v>
      </c>
      <c r="E374" s="14">
        <v>1076</v>
      </c>
      <c r="F374" s="15">
        <v>319.81</v>
      </c>
      <c r="G374" s="15">
        <v>344115.56</v>
      </c>
      <c r="H374" s="14" t="s">
        <v>1427</v>
      </c>
      <c r="I374" s="14" t="s">
        <v>1837</v>
      </c>
    </row>
    <row r="375" spans="1:9" ht="15" customHeight="1" x14ac:dyDescent="0.2">
      <c r="A375" s="14" t="s">
        <v>1113</v>
      </c>
      <c r="B375" s="16">
        <v>45935</v>
      </c>
      <c r="C375" s="14" t="s">
        <v>1480</v>
      </c>
      <c r="D375" s="14" t="s">
        <v>42</v>
      </c>
      <c r="E375" s="14">
        <v>1628</v>
      </c>
      <c r="F375" s="15">
        <v>135.29</v>
      </c>
      <c r="G375" s="15">
        <v>220252.12</v>
      </c>
      <c r="H375" s="14" t="s">
        <v>1432</v>
      </c>
      <c r="I375" s="14" t="s">
        <v>1838</v>
      </c>
    </row>
    <row r="376" spans="1:9" ht="15" customHeight="1" x14ac:dyDescent="0.2">
      <c r="A376" s="14" t="s">
        <v>1115</v>
      </c>
      <c r="B376" s="16">
        <v>46007</v>
      </c>
      <c r="C376" s="14" t="s">
        <v>1510</v>
      </c>
      <c r="D376" s="14" t="s">
        <v>46</v>
      </c>
      <c r="E376" s="14">
        <v>199</v>
      </c>
      <c r="F376" s="15">
        <v>284.95</v>
      </c>
      <c r="G376" s="15">
        <v>56705.05</v>
      </c>
      <c r="H376" s="14" t="s">
        <v>1432</v>
      </c>
      <c r="I376" s="14" t="s">
        <v>1839</v>
      </c>
    </row>
    <row r="377" spans="1:9" ht="15" customHeight="1" x14ac:dyDescent="0.2">
      <c r="A377" s="14" t="s">
        <v>1118</v>
      </c>
      <c r="B377" s="16">
        <v>45957</v>
      </c>
      <c r="C377" s="14" t="s">
        <v>1474</v>
      </c>
      <c r="D377" s="14" t="s">
        <v>39</v>
      </c>
      <c r="E377" s="14">
        <v>1492</v>
      </c>
      <c r="F377" s="15">
        <v>312.49</v>
      </c>
      <c r="G377" s="15">
        <v>466235.08</v>
      </c>
      <c r="H377" s="14" t="s">
        <v>1427</v>
      </c>
      <c r="I377" s="14" t="s">
        <v>1840</v>
      </c>
    </row>
    <row r="378" spans="1:9" ht="15" customHeight="1" x14ac:dyDescent="0.2">
      <c r="A378" s="14" t="s">
        <v>1122</v>
      </c>
      <c r="B378" s="16">
        <v>45975</v>
      </c>
      <c r="C378" s="14" t="s">
        <v>1458</v>
      </c>
      <c r="D378" s="14" t="s">
        <v>39</v>
      </c>
      <c r="E378" s="14">
        <v>552</v>
      </c>
      <c r="F378" s="15">
        <v>179.91</v>
      </c>
      <c r="G378" s="15">
        <v>99310.32</v>
      </c>
      <c r="H378" s="14" t="s">
        <v>1432</v>
      </c>
      <c r="I378" s="14" t="s">
        <v>1841</v>
      </c>
    </row>
    <row r="379" spans="1:9" ht="15" customHeight="1" x14ac:dyDescent="0.2">
      <c r="A379" s="14" t="s">
        <v>1126</v>
      </c>
      <c r="B379" s="16">
        <v>45946</v>
      </c>
      <c r="C379" s="14" t="s">
        <v>1445</v>
      </c>
      <c r="D379" s="14" t="s">
        <v>45</v>
      </c>
      <c r="E379" s="14">
        <v>1140</v>
      </c>
      <c r="F379" s="15">
        <v>484.51</v>
      </c>
      <c r="G379" s="15">
        <v>552341.4</v>
      </c>
      <c r="H379" s="14" t="s">
        <v>1427</v>
      </c>
      <c r="I379" s="14" t="s">
        <v>1842</v>
      </c>
    </row>
    <row r="380" spans="1:9" ht="15" customHeight="1" x14ac:dyDescent="0.2">
      <c r="A380" s="14" t="s">
        <v>1128</v>
      </c>
      <c r="B380" s="16">
        <v>45974</v>
      </c>
      <c r="C380" s="14" t="s">
        <v>1474</v>
      </c>
      <c r="D380" s="14" t="s">
        <v>44</v>
      </c>
      <c r="E380" s="14">
        <v>704</v>
      </c>
      <c r="F380" s="15">
        <v>4.42</v>
      </c>
      <c r="G380" s="15">
        <v>3111.68</v>
      </c>
      <c r="H380" s="14" t="s">
        <v>1427</v>
      </c>
      <c r="I380" s="14" t="s">
        <v>1843</v>
      </c>
    </row>
    <row r="381" spans="1:9" ht="15" customHeight="1" x14ac:dyDescent="0.2">
      <c r="A381" s="14" t="s">
        <v>1130</v>
      </c>
      <c r="B381" s="16">
        <v>45942</v>
      </c>
      <c r="C381" s="14" t="s">
        <v>1474</v>
      </c>
      <c r="D381" s="14" t="s">
        <v>47</v>
      </c>
      <c r="E381" s="14">
        <v>256</v>
      </c>
      <c r="F381" s="15">
        <v>381.22</v>
      </c>
      <c r="G381" s="15">
        <v>97592.320000000007</v>
      </c>
      <c r="H381" s="14" t="s">
        <v>1427</v>
      </c>
      <c r="I381" s="14" t="s">
        <v>1844</v>
      </c>
    </row>
    <row r="382" spans="1:9" ht="15" customHeight="1" x14ac:dyDescent="0.2">
      <c r="A382" s="14" t="s">
        <v>1132</v>
      </c>
      <c r="B382" s="16">
        <v>45937</v>
      </c>
      <c r="C382" s="14" t="s">
        <v>1449</v>
      </c>
      <c r="D382" s="14" t="s">
        <v>44</v>
      </c>
      <c r="E382" s="14">
        <v>1534</v>
      </c>
      <c r="F382" s="15">
        <v>329.42</v>
      </c>
      <c r="G382" s="15">
        <v>505330.28</v>
      </c>
      <c r="H382" s="14" t="s">
        <v>1427</v>
      </c>
      <c r="I382" s="14" t="s">
        <v>1845</v>
      </c>
    </row>
    <row r="383" spans="1:9" ht="15" customHeight="1" x14ac:dyDescent="0.2">
      <c r="A383" s="14" t="s">
        <v>1134</v>
      </c>
      <c r="B383" s="16">
        <v>45988</v>
      </c>
      <c r="C383" s="14" t="s">
        <v>1468</v>
      </c>
      <c r="D383" s="14" t="s">
        <v>47</v>
      </c>
      <c r="E383" s="14">
        <v>557</v>
      </c>
      <c r="F383" s="15">
        <v>228.1</v>
      </c>
      <c r="G383" s="15">
        <v>127051.7</v>
      </c>
      <c r="H383" s="14" t="s">
        <v>1427</v>
      </c>
      <c r="I383" s="14" t="s">
        <v>1846</v>
      </c>
    </row>
    <row r="384" spans="1:9" ht="15" customHeight="1" x14ac:dyDescent="0.2">
      <c r="A384" s="14" t="s">
        <v>1136</v>
      </c>
      <c r="B384" s="16">
        <v>45988</v>
      </c>
      <c r="C384" s="14" t="s">
        <v>1474</v>
      </c>
      <c r="D384" s="14" t="s">
        <v>39</v>
      </c>
      <c r="E384" s="14">
        <v>1926</v>
      </c>
      <c r="F384" s="15">
        <v>248.78</v>
      </c>
      <c r="G384" s="15">
        <v>479150.28</v>
      </c>
      <c r="H384" s="14" t="s">
        <v>1427</v>
      </c>
      <c r="I384" s="14" t="s">
        <v>1847</v>
      </c>
    </row>
    <row r="385" spans="1:9" ht="15" customHeight="1" x14ac:dyDescent="0.2">
      <c r="A385" s="14" t="s">
        <v>1140</v>
      </c>
      <c r="B385" s="16">
        <v>46012</v>
      </c>
      <c r="C385" s="14" t="s">
        <v>1449</v>
      </c>
      <c r="D385" s="14" t="s">
        <v>36</v>
      </c>
      <c r="E385" s="14">
        <v>848</v>
      </c>
      <c r="F385" s="15">
        <v>163.69</v>
      </c>
      <c r="G385" s="15">
        <v>138809.12</v>
      </c>
      <c r="H385" s="14" t="s">
        <v>1427</v>
      </c>
      <c r="I385" s="14" t="s">
        <v>1848</v>
      </c>
    </row>
    <row r="386" spans="1:9" ht="15" customHeight="1" x14ac:dyDescent="0.2">
      <c r="A386" s="14" t="s">
        <v>1142</v>
      </c>
      <c r="B386" s="16">
        <v>46009</v>
      </c>
      <c r="C386" s="14" t="s">
        <v>1480</v>
      </c>
      <c r="D386" s="14" t="s">
        <v>46</v>
      </c>
      <c r="E386" s="14">
        <v>473</v>
      </c>
      <c r="F386" s="15">
        <v>163.9</v>
      </c>
      <c r="G386" s="15">
        <v>77524.7</v>
      </c>
      <c r="H386" s="14" t="s">
        <v>1432</v>
      </c>
      <c r="I386" s="14" t="s">
        <v>1849</v>
      </c>
    </row>
    <row r="387" spans="1:9" ht="15" customHeight="1" x14ac:dyDescent="0.2">
      <c r="A387" s="14" t="s">
        <v>1144</v>
      </c>
      <c r="B387" s="16">
        <v>46007</v>
      </c>
      <c r="C387" s="14" t="s">
        <v>1474</v>
      </c>
      <c r="D387" s="14" t="s">
        <v>44</v>
      </c>
      <c r="E387" s="14">
        <v>930</v>
      </c>
      <c r="F387" s="15">
        <v>52.34</v>
      </c>
      <c r="G387" s="15">
        <v>48676.2</v>
      </c>
      <c r="H387" s="14" t="s">
        <v>1427</v>
      </c>
      <c r="I387" s="14" t="s">
        <v>1850</v>
      </c>
    </row>
    <row r="388" spans="1:9" ht="15" customHeight="1" x14ac:dyDescent="0.2">
      <c r="A388" s="14" t="s">
        <v>1146</v>
      </c>
      <c r="B388" s="16">
        <v>45977</v>
      </c>
      <c r="C388" s="14" t="s">
        <v>1468</v>
      </c>
      <c r="D388" s="14" t="s">
        <v>44</v>
      </c>
      <c r="E388" s="14">
        <v>963</v>
      </c>
      <c r="F388" s="15">
        <v>99.31</v>
      </c>
      <c r="G388" s="15">
        <v>95635.53</v>
      </c>
      <c r="H388" s="14" t="s">
        <v>1432</v>
      </c>
      <c r="I388" s="14" t="s">
        <v>1851</v>
      </c>
    </row>
    <row r="389" spans="1:9" ht="15" customHeight="1" x14ac:dyDescent="0.2">
      <c r="A389" s="14" t="s">
        <v>1148</v>
      </c>
      <c r="B389" s="16">
        <v>45978</v>
      </c>
      <c r="C389" s="14" t="s">
        <v>1452</v>
      </c>
      <c r="D389" s="14" t="s">
        <v>39</v>
      </c>
      <c r="E389" s="14">
        <v>1396</v>
      </c>
      <c r="F389" s="15">
        <v>141.93</v>
      </c>
      <c r="G389" s="15">
        <v>198134.28</v>
      </c>
      <c r="H389" s="14" t="s">
        <v>1427</v>
      </c>
      <c r="I389" s="14" t="s">
        <v>1852</v>
      </c>
    </row>
    <row r="390" spans="1:9" ht="15" customHeight="1" x14ac:dyDescent="0.2">
      <c r="A390" s="14" t="s">
        <v>1152</v>
      </c>
      <c r="B390" s="16">
        <v>46008</v>
      </c>
      <c r="C390" s="14" t="s">
        <v>1510</v>
      </c>
      <c r="D390" s="14" t="s">
        <v>42</v>
      </c>
      <c r="E390" s="14">
        <v>1256</v>
      </c>
      <c r="F390" s="15">
        <v>388.02</v>
      </c>
      <c r="G390" s="15">
        <v>487353.12</v>
      </c>
      <c r="H390" s="14" t="s">
        <v>1427</v>
      </c>
      <c r="I390" s="14" t="s">
        <v>1853</v>
      </c>
    </row>
    <row r="391" spans="1:9" ht="15" customHeight="1" x14ac:dyDescent="0.2">
      <c r="A391" s="14" t="s">
        <v>1154</v>
      </c>
      <c r="B391" s="16">
        <v>45957</v>
      </c>
      <c r="C391" s="14" t="s">
        <v>1466</v>
      </c>
      <c r="D391" s="14" t="s">
        <v>44</v>
      </c>
      <c r="E391" s="14">
        <v>1642</v>
      </c>
      <c r="F391" s="15">
        <v>267.82</v>
      </c>
      <c r="G391" s="15">
        <v>439760.44</v>
      </c>
      <c r="H391" s="14" t="s">
        <v>1427</v>
      </c>
      <c r="I391" s="14" t="s">
        <v>1854</v>
      </c>
    </row>
    <row r="392" spans="1:9" ht="15" customHeight="1" x14ac:dyDescent="0.2">
      <c r="A392" s="14" t="s">
        <v>1156</v>
      </c>
      <c r="B392" s="16">
        <v>45966</v>
      </c>
      <c r="C392" s="14" t="s">
        <v>1456</v>
      </c>
      <c r="D392" s="14" t="s">
        <v>46</v>
      </c>
      <c r="E392" s="14">
        <v>646</v>
      </c>
      <c r="F392" s="15">
        <v>85.45</v>
      </c>
      <c r="G392" s="15">
        <v>55200.7</v>
      </c>
      <c r="H392" s="14" t="s">
        <v>1427</v>
      </c>
      <c r="I392" s="14" t="s">
        <v>1855</v>
      </c>
    </row>
    <row r="393" spans="1:9" ht="15" customHeight="1" x14ac:dyDescent="0.2">
      <c r="A393" s="14" t="s">
        <v>1159</v>
      </c>
      <c r="B393" s="16">
        <v>45946</v>
      </c>
      <c r="C393" s="14" t="s">
        <v>1474</v>
      </c>
      <c r="D393" s="14" t="s">
        <v>45</v>
      </c>
      <c r="E393" s="14">
        <v>520</v>
      </c>
      <c r="F393" s="15">
        <v>43.98</v>
      </c>
      <c r="G393" s="15">
        <v>22869.599999999999</v>
      </c>
      <c r="H393" s="14" t="s">
        <v>1427</v>
      </c>
      <c r="I393" s="14" t="s">
        <v>1856</v>
      </c>
    </row>
    <row r="394" spans="1:9" ht="15" customHeight="1" x14ac:dyDescent="0.2">
      <c r="A394" s="14" t="s">
        <v>1161</v>
      </c>
      <c r="B394" s="16">
        <v>45996</v>
      </c>
      <c r="C394" s="14" t="s">
        <v>1449</v>
      </c>
      <c r="D394" s="14" t="s">
        <v>42</v>
      </c>
      <c r="E394" s="14">
        <v>1405</v>
      </c>
      <c r="F394" s="15">
        <v>446.28</v>
      </c>
      <c r="G394" s="15">
        <v>627023.4</v>
      </c>
      <c r="H394" s="14" t="s">
        <v>1427</v>
      </c>
      <c r="I394" s="14" t="s">
        <v>1857</v>
      </c>
    </row>
    <row r="395" spans="1:9" ht="15" customHeight="1" x14ac:dyDescent="0.2">
      <c r="A395" s="14" t="s">
        <v>1163</v>
      </c>
      <c r="B395" s="16">
        <v>45971</v>
      </c>
      <c r="C395" s="14" t="s">
        <v>1494</v>
      </c>
      <c r="D395" s="14" t="s">
        <v>42</v>
      </c>
      <c r="E395" s="14">
        <v>1566</v>
      </c>
      <c r="F395" s="15">
        <v>443.35</v>
      </c>
      <c r="G395" s="15">
        <v>694286.1</v>
      </c>
      <c r="H395" s="14" t="s">
        <v>1432</v>
      </c>
      <c r="I395" s="14" t="s">
        <v>1858</v>
      </c>
    </row>
    <row r="396" spans="1:9" ht="15" customHeight="1" x14ac:dyDescent="0.2">
      <c r="A396" s="14" t="s">
        <v>1165</v>
      </c>
      <c r="B396" s="16">
        <v>46011</v>
      </c>
      <c r="C396" s="14" t="s">
        <v>1494</v>
      </c>
      <c r="D396" s="14" t="s">
        <v>45</v>
      </c>
      <c r="E396" s="14">
        <v>538</v>
      </c>
      <c r="F396" s="15">
        <v>464.22</v>
      </c>
      <c r="G396" s="15">
        <v>249750.36</v>
      </c>
      <c r="H396" s="14" t="s">
        <v>1432</v>
      </c>
      <c r="I396" s="14" t="s">
        <v>1859</v>
      </c>
    </row>
    <row r="397" spans="1:9" ht="15" customHeight="1" x14ac:dyDescent="0.2">
      <c r="A397" s="14" t="s">
        <v>1167</v>
      </c>
      <c r="B397" s="16">
        <v>45972</v>
      </c>
      <c r="C397" s="14" t="s">
        <v>1494</v>
      </c>
      <c r="D397" s="14" t="s">
        <v>46</v>
      </c>
      <c r="E397" s="14">
        <v>1579</v>
      </c>
      <c r="F397" s="15">
        <v>255.21</v>
      </c>
      <c r="G397" s="15">
        <v>402976.59</v>
      </c>
      <c r="H397" s="14" t="s">
        <v>1432</v>
      </c>
      <c r="I397" s="14" t="s">
        <v>1860</v>
      </c>
    </row>
    <row r="398" spans="1:9" ht="15" customHeight="1" x14ac:dyDescent="0.2">
      <c r="A398" s="14" t="s">
        <v>1169</v>
      </c>
      <c r="B398" s="16">
        <v>45980</v>
      </c>
      <c r="C398" s="14" t="s">
        <v>1452</v>
      </c>
      <c r="D398" s="14" t="s">
        <v>44</v>
      </c>
      <c r="E398" s="14">
        <v>1603</v>
      </c>
      <c r="F398" s="15">
        <v>157.80000000000001</v>
      </c>
      <c r="G398" s="15">
        <v>252953.4</v>
      </c>
      <c r="H398" s="14" t="s">
        <v>1432</v>
      </c>
      <c r="I398" s="14" t="s">
        <v>1861</v>
      </c>
    </row>
    <row r="399" spans="1:9" ht="15" customHeight="1" x14ac:dyDescent="0.2">
      <c r="A399" s="14" t="s">
        <v>1171</v>
      </c>
      <c r="B399" s="16">
        <v>45956</v>
      </c>
      <c r="C399" s="14" t="s">
        <v>1447</v>
      </c>
      <c r="D399" s="14" t="s">
        <v>36</v>
      </c>
      <c r="E399" s="14">
        <v>512</v>
      </c>
      <c r="F399" s="15">
        <v>257.83</v>
      </c>
      <c r="G399" s="15">
        <v>132008.95999999999</v>
      </c>
      <c r="H399" s="14" t="s">
        <v>1432</v>
      </c>
      <c r="I399" s="14" t="s">
        <v>1862</v>
      </c>
    </row>
    <row r="400" spans="1:9" ht="15" customHeight="1" x14ac:dyDescent="0.2">
      <c r="A400" s="14" t="s">
        <v>1173</v>
      </c>
      <c r="B400" s="16">
        <v>45963</v>
      </c>
      <c r="C400" s="14" t="s">
        <v>1494</v>
      </c>
      <c r="D400" s="14" t="s">
        <v>36</v>
      </c>
      <c r="E400" s="14">
        <v>1844</v>
      </c>
      <c r="F400" s="15">
        <v>26.64</v>
      </c>
      <c r="G400" s="15">
        <v>49124.160000000003</v>
      </c>
      <c r="H400" s="14" t="s">
        <v>1427</v>
      </c>
      <c r="I400" s="14" t="s">
        <v>1863</v>
      </c>
    </row>
    <row r="401" spans="1:9" ht="15" customHeight="1" x14ac:dyDescent="0.2">
      <c r="A401" s="14" t="s">
        <v>1176</v>
      </c>
      <c r="B401" s="16">
        <v>46001</v>
      </c>
      <c r="C401" s="14" t="s">
        <v>1474</v>
      </c>
      <c r="D401" s="14" t="s">
        <v>36</v>
      </c>
      <c r="E401" s="14">
        <v>156</v>
      </c>
      <c r="F401" s="15">
        <v>431.77</v>
      </c>
      <c r="G401" s="15">
        <v>67356.12</v>
      </c>
      <c r="H401" s="14" t="s">
        <v>1432</v>
      </c>
      <c r="I401" s="14" t="s">
        <v>1864</v>
      </c>
    </row>
    <row r="402" spans="1:9" ht="15" customHeight="1" x14ac:dyDescent="0.2">
      <c r="A402" s="14" t="s">
        <v>1178</v>
      </c>
      <c r="B402" s="16">
        <v>45963</v>
      </c>
      <c r="C402" s="14" t="s">
        <v>1447</v>
      </c>
      <c r="D402" s="14" t="s">
        <v>44</v>
      </c>
      <c r="E402" s="14">
        <v>1020</v>
      </c>
      <c r="F402" s="15">
        <v>439</v>
      </c>
      <c r="G402" s="15">
        <v>447780</v>
      </c>
      <c r="H402" s="14" t="s">
        <v>1427</v>
      </c>
      <c r="I402" s="14" t="s">
        <v>1865</v>
      </c>
    </row>
    <row r="403" spans="1:9" ht="15" customHeight="1" x14ac:dyDescent="0.2">
      <c r="A403" s="14" t="s">
        <v>1181</v>
      </c>
      <c r="B403" s="16">
        <v>45934</v>
      </c>
      <c r="C403" s="14" t="s">
        <v>1449</v>
      </c>
      <c r="D403" s="14" t="s">
        <v>45</v>
      </c>
      <c r="E403" s="14">
        <v>1196</v>
      </c>
      <c r="F403" s="15">
        <v>108.68</v>
      </c>
      <c r="G403" s="15">
        <v>129981.28</v>
      </c>
      <c r="H403" s="14" t="s">
        <v>1427</v>
      </c>
      <c r="I403" s="14" t="s">
        <v>1866</v>
      </c>
    </row>
    <row r="404" spans="1:9" ht="15" customHeight="1" x14ac:dyDescent="0.2">
      <c r="A404" s="14" t="s">
        <v>1183</v>
      </c>
      <c r="B404" s="16">
        <v>45931</v>
      </c>
      <c r="C404" s="14" t="s">
        <v>1494</v>
      </c>
      <c r="D404" s="14" t="s">
        <v>47</v>
      </c>
      <c r="E404" s="14">
        <v>62</v>
      </c>
      <c r="F404" s="15">
        <v>406.32</v>
      </c>
      <c r="G404" s="15">
        <v>25191.84</v>
      </c>
      <c r="H404" s="14" t="s">
        <v>1432</v>
      </c>
      <c r="I404" s="14" t="s">
        <v>1867</v>
      </c>
    </row>
    <row r="405" spans="1:9" ht="15" customHeight="1" x14ac:dyDescent="0.2">
      <c r="A405" s="14" t="s">
        <v>1185</v>
      </c>
      <c r="B405" s="16">
        <v>45993</v>
      </c>
      <c r="C405" s="14" t="s">
        <v>1456</v>
      </c>
      <c r="D405" s="14" t="s">
        <v>44</v>
      </c>
      <c r="E405" s="14">
        <v>189</v>
      </c>
      <c r="F405" s="15">
        <v>140.5</v>
      </c>
      <c r="G405" s="15">
        <v>26554.5</v>
      </c>
      <c r="H405" s="14" t="s">
        <v>1432</v>
      </c>
      <c r="I405" s="14" t="s">
        <v>1868</v>
      </c>
    </row>
    <row r="406" spans="1:9" ht="15" customHeight="1" x14ac:dyDescent="0.2">
      <c r="A406" s="14" t="s">
        <v>1187</v>
      </c>
      <c r="B406" s="16">
        <v>46004</v>
      </c>
      <c r="C406" s="14" t="s">
        <v>1449</v>
      </c>
      <c r="D406" s="14" t="s">
        <v>44</v>
      </c>
      <c r="E406" s="14">
        <v>1388</v>
      </c>
      <c r="F406" s="15">
        <v>45.54</v>
      </c>
      <c r="G406" s="15">
        <v>63209.52</v>
      </c>
      <c r="H406" s="14" t="s">
        <v>1432</v>
      </c>
      <c r="I406" s="14" t="s">
        <v>1869</v>
      </c>
    </row>
    <row r="407" spans="1:9" ht="15" customHeight="1" x14ac:dyDescent="0.2">
      <c r="A407" s="14" t="s">
        <v>1190</v>
      </c>
      <c r="B407" s="16">
        <v>45949</v>
      </c>
      <c r="C407" s="14" t="s">
        <v>1466</v>
      </c>
      <c r="D407" s="14" t="s">
        <v>47</v>
      </c>
      <c r="E407" s="14">
        <v>1474</v>
      </c>
      <c r="F407" s="15">
        <v>151.72</v>
      </c>
      <c r="G407" s="15">
        <v>223635.28</v>
      </c>
      <c r="H407" s="14" t="s">
        <v>1427</v>
      </c>
      <c r="I407" s="14" t="s">
        <v>1870</v>
      </c>
    </row>
    <row r="408" spans="1:9" ht="15" customHeight="1" x14ac:dyDescent="0.2">
      <c r="A408" s="14" t="s">
        <v>1193</v>
      </c>
      <c r="B408" s="16">
        <v>46016</v>
      </c>
      <c r="C408" s="14" t="s">
        <v>1447</v>
      </c>
      <c r="D408" s="14" t="s">
        <v>47</v>
      </c>
      <c r="E408" s="14">
        <v>1191</v>
      </c>
      <c r="F408" s="15">
        <v>116.72</v>
      </c>
      <c r="G408" s="15">
        <v>139013.51999999999</v>
      </c>
      <c r="H408" s="14" t="s">
        <v>1432</v>
      </c>
      <c r="I408" s="14" t="s">
        <v>1871</v>
      </c>
    </row>
    <row r="409" spans="1:9" ht="15" customHeight="1" x14ac:dyDescent="0.2">
      <c r="A409" s="14" t="s">
        <v>1195</v>
      </c>
      <c r="B409" s="16">
        <v>45997</v>
      </c>
      <c r="C409" s="14" t="s">
        <v>1474</v>
      </c>
      <c r="D409" s="14" t="s">
        <v>42</v>
      </c>
      <c r="E409" s="14">
        <v>1920</v>
      </c>
      <c r="F409" s="15">
        <v>437.3</v>
      </c>
      <c r="G409" s="15">
        <v>839616</v>
      </c>
      <c r="H409" s="14" t="s">
        <v>1427</v>
      </c>
      <c r="I409" s="14" t="s">
        <v>1872</v>
      </c>
    </row>
    <row r="410" spans="1:9" ht="15" customHeight="1" x14ac:dyDescent="0.2">
      <c r="A410" s="14" t="s">
        <v>1197</v>
      </c>
      <c r="B410" s="16">
        <v>45956</v>
      </c>
      <c r="C410" s="14" t="s">
        <v>1510</v>
      </c>
      <c r="D410" s="14" t="s">
        <v>44</v>
      </c>
      <c r="E410" s="14">
        <v>136</v>
      </c>
      <c r="F410" s="15">
        <v>252.76</v>
      </c>
      <c r="G410" s="15">
        <v>34375.360000000001</v>
      </c>
      <c r="H410" s="14" t="s">
        <v>1432</v>
      </c>
      <c r="I410" s="14" t="s">
        <v>1873</v>
      </c>
    </row>
    <row r="411" spans="1:9" ht="15" customHeight="1" x14ac:dyDescent="0.2">
      <c r="A411" s="14" t="s">
        <v>1199</v>
      </c>
      <c r="B411" s="16">
        <v>45979</v>
      </c>
      <c r="C411" s="14" t="s">
        <v>1454</v>
      </c>
      <c r="D411" s="14" t="s">
        <v>46</v>
      </c>
      <c r="E411" s="14">
        <v>1614</v>
      </c>
      <c r="F411" s="15">
        <v>98.44</v>
      </c>
      <c r="G411" s="15">
        <v>158882.16</v>
      </c>
      <c r="H411" s="14" t="s">
        <v>1432</v>
      </c>
      <c r="I411" s="14" t="s">
        <v>1874</v>
      </c>
    </row>
    <row r="412" spans="1:9" ht="15" customHeight="1" x14ac:dyDescent="0.2">
      <c r="A412" s="14" t="s">
        <v>1201</v>
      </c>
      <c r="B412" s="16">
        <v>45992</v>
      </c>
      <c r="C412" s="14" t="s">
        <v>1447</v>
      </c>
      <c r="D412" s="14" t="s">
        <v>36</v>
      </c>
      <c r="E412" s="14">
        <v>616</v>
      </c>
      <c r="F412" s="15">
        <v>395.41</v>
      </c>
      <c r="G412" s="15">
        <v>243572.56</v>
      </c>
      <c r="H412" s="14" t="s">
        <v>1427</v>
      </c>
      <c r="I412" s="14" t="s">
        <v>1875</v>
      </c>
    </row>
    <row r="413" spans="1:9" ht="15" customHeight="1" x14ac:dyDescent="0.2">
      <c r="A413" s="14" t="s">
        <v>1203</v>
      </c>
      <c r="B413" s="16">
        <v>45977</v>
      </c>
      <c r="C413" s="14" t="s">
        <v>1466</v>
      </c>
      <c r="D413" s="14" t="s">
        <v>36</v>
      </c>
      <c r="E413" s="14">
        <v>1598</v>
      </c>
      <c r="F413" s="15">
        <v>286.07</v>
      </c>
      <c r="G413" s="15">
        <v>457139.86</v>
      </c>
      <c r="H413" s="14" t="s">
        <v>1432</v>
      </c>
      <c r="I413" s="14" t="s">
        <v>1876</v>
      </c>
    </row>
    <row r="414" spans="1:9" ht="15" customHeight="1" x14ac:dyDescent="0.2">
      <c r="A414" s="14" t="s">
        <v>1205</v>
      </c>
      <c r="B414" s="16">
        <v>46002</v>
      </c>
      <c r="C414" s="14" t="s">
        <v>1478</v>
      </c>
      <c r="D414" s="14" t="s">
        <v>42</v>
      </c>
      <c r="E414" s="14">
        <v>834</v>
      </c>
      <c r="F414" s="15">
        <v>69.28</v>
      </c>
      <c r="G414" s="15">
        <v>57779.519999999997</v>
      </c>
      <c r="H414" s="14" t="s">
        <v>1432</v>
      </c>
      <c r="I414" s="14" t="s">
        <v>1877</v>
      </c>
    </row>
    <row r="415" spans="1:9" ht="15" customHeight="1" x14ac:dyDescent="0.2">
      <c r="A415" s="14" t="s">
        <v>1207</v>
      </c>
      <c r="B415" s="16">
        <v>46015</v>
      </c>
      <c r="C415" s="14" t="s">
        <v>1466</v>
      </c>
      <c r="D415" s="14" t="s">
        <v>47</v>
      </c>
      <c r="E415" s="14">
        <v>1121</v>
      </c>
      <c r="F415" s="15">
        <v>91.69</v>
      </c>
      <c r="G415" s="15">
        <v>102784.49</v>
      </c>
      <c r="H415" s="14" t="s">
        <v>1432</v>
      </c>
      <c r="I415" s="14" t="s">
        <v>1878</v>
      </c>
    </row>
    <row r="416" spans="1:9" ht="15" customHeight="1" x14ac:dyDescent="0.2">
      <c r="A416" s="14" t="s">
        <v>1209</v>
      </c>
      <c r="B416" s="16">
        <v>45949</v>
      </c>
      <c r="C416" s="14" t="s">
        <v>1447</v>
      </c>
      <c r="D416" s="14" t="s">
        <v>36</v>
      </c>
      <c r="E416" s="14">
        <v>1040</v>
      </c>
      <c r="F416" s="15">
        <v>436.37</v>
      </c>
      <c r="G416" s="15">
        <v>453824.8</v>
      </c>
      <c r="H416" s="14" t="s">
        <v>1427</v>
      </c>
      <c r="I416" s="14" t="s">
        <v>1879</v>
      </c>
    </row>
    <row r="417" spans="1:9" ht="15" customHeight="1" x14ac:dyDescent="0.2">
      <c r="A417" s="14" t="s">
        <v>1211</v>
      </c>
      <c r="B417" s="16">
        <v>45992</v>
      </c>
      <c r="C417" s="14" t="s">
        <v>1508</v>
      </c>
      <c r="D417" s="14" t="s">
        <v>46</v>
      </c>
      <c r="E417" s="14">
        <v>1170</v>
      </c>
      <c r="F417" s="15">
        <v>83.36</v>
      </c>
      <c r="G417" s="15">
        <v>97531.199999999997</v>
      </c>
      <c r="H417" s="14" t="s">
        <v>1432</v>
      </c>
      <c r="I417" s="14" t="s">
        <v>1880</v>
      </c>
    </row>
    <row r="418" spans="1:9" ht="15" customHeight="1" x14ac:dyDescent="0.2">
      <c r="A418" s="14" t="s">
        <v>1213</v>
      </c>
      <c r="B418" s="16">
        <v>46002</v>
      </c>
      <c r="C418" s="14" t="s">
        <v>1508</v>
      </c>
      <c r="D418" s="14" t="s">
        <v>45</v>
      </c>
      <c r="E418" s="14">
        <v>1588</v>
      </c>
      <c r="F418" s="15">
        <v>83.11</v>
      </c>
      <c r="G418" s="15">
        <v>131978.68</v>
      </c>
      <c r="H418" s="14" t="s">
        <v>1432</v>
      </c>
      <c r="I418" s="14" t="s">
        <v>1881</v>
      </c>
    </row>
    <row r="419" spans="1:9" ht="15" customHeight="1" x14ac:dyDescent="0.2">
      <c r="A419" s="14" t="s">
        <v>1215</v>
      </c>
      <c r="B419" s="16">
        <v>46006</v>
      </c>
      <c r="C419" s="14" t="s">
        <v>1478</v>
      </c>
      <c r="D419" s="14" t="s">
        <v>36</v>
      </c>
      <c r="E419" s="14">
        <v>1529</v>
      </c>
      <c r="F419" s="15">
        <v>379.54</v>
      </c>
      <c r="G419" s="15">
        <v>580316.66</v>
      </c>
      <c r="H419" s="14" t="s">
        <v>1432</v>
      </c>
      <c r="I419" s="14" t="s">
        <v>1882</v>
      </c>
    </row>
    <row r="420" spans="1:9" ht="15" customHeight="1" x14ac:dyDescent="0.2">
      <c r="A420" s="14" t="s">
        <v>1218</v>
      </c>
      <c r="B420" s="16">
        <v>45982</v>
      </c>
      <c r="C420" s="14" t="s">
        <v>1447</v>
      </c>
      <c r="D420" s="14" t="s">
        <v>45</v>
      </c>
      <c r="E420" s="14">
        <v>506</v>
      </c>
      <c r="F420" s="15">
        <v>22.12</v>
      </c>
      <c r="G420" s="15">
        <v>11192.72</v>
      </c>
      <c r="H420" s="14" t="s">
        <v>1432</v>
      </c>
      <c r="I420" s="14" t="s">
        <v>1883</v>
      </c>
    </row>
    <row r="421" spans="1:9" ht="15" customHeight="1" x14ac:dyDescent="0.2">
      <c r="A421" s="14" t="s">
        <v>1220</v>
      </c>
      <c r="B421" s="16">
        <v>46015</v>
      </c>
      <c r="C421" s="14" t="s">
        <v>1445</v>
      </c>
      <c r="D421" s="14" t="s">
        <v>46</v>
      </c>
      <c r="E421" s="14">
        <v>682</v>
      </c>
      <c r="F421" s="15">
        <v>141.91999999999999</v>
      </c>
      <c r="G421" s="15">
        <v>96789.440000000002</v>
      </c>
      <c r="H421" s="14" t="s">
        <v>1432</v>
      </c>
      <c r="I421" s="14" t="s">
        <v>1884</v>
      </c>
    </row>
    <row r="422" spans="1:9" ht="15" customHeight="1" x14ac:dyDescent="0.2">
      <c r="A422" s="14" t="s">
        <v>1222</v>
      </c>
      <c r="B422" s="16">
        <v>45974</v>
      </c>
      <c r="C422" s="14" t="s">
        <v>1449</v>
      </c>
      <c r="D422" s="14" t="s">
        <v>47</v>
      </c>
      <c r="E422" s="14">
        <v>495</v>
      </c>
      <c r="F422" s="15">
        <v>295.39999999999998</v>
      </c>
      <c r="G422" s="15">
        <v>146223</v>
      </c>
      <c r="H422" s="14" t="s">
        <v>1432</v>
      </c>
      <c r="I422" s="14" t="s">
        <v>1885</v>
      </c>
    </row>
    <row r="423" spans="1:9" ht="15" customHeight="1" x14ac:dyDescent="0.2">
      <c r="A423" s="14" t="s">
        <v>1886</v>
      </c>
      <c r="B423" s="16">
        <v>46020</v>
      </c>
      <c r="C423" s="14" t="s">
        <v>1474</v>
      </c>
      <c r="D423" s="14" t="s">
        <v>36</v>
      </c>
      <c r="E423" s="14">
        <v>1644</v>
      </c>
      <c r="F423" s="15">
        <v>115.4</v>
      </c>
      <c r="G423" s="15">
        <v>189717.6</v>
      </c>
      <c r="H423" s="14" t="s">
        <v>1432</v>
      </c>
      <c r="I423" s="14" t="s">
        <v>1887</v>
      </c>
    </row>
    <row r="424" spans="1:9" ht="15" customHeight="1" x14ac:dyDescent="0.2">
      <c r="A424" s="14" t="s">
        <v>1224</v>
      </c>
      <c r="B424" s="16">
        <v>45967</v>
      </c>
      <c r="C424" s="14" t="s">
        <v>1447</v>
      </c>
      <c r="D424" s="14" t="s">
        <v>47</v>
      </c>
      <c r="E424" s="14">
        <v>739</v>
      </c>
      <c r="F424" s="15">
        <v>101.26</v>
      </c>
      <c r="G424" s="15">
        <v>74831.14</v>
      </c>
      <c r="H424" s="14" t="s">
        <v>1427</v>
      </c>
      <c r="I424" s="14" t="s">
        <v>1888</v>
      </c>
    </row>
    <row r="425" spans="1:9" ht="15" customHeight="1" x14ac:dyDescent="0.2">
      <c r="A425" s="14" t="s">
        <v>1226</v>
      </c>
      <c r="B425" s="16">
        <v>45977</v>
      </c>
      <c r="C425" s="14" t="s">
        <v>1449</v>
      </c>
      <c r="D425" s="14" t="s">
        <v>44</v>
      </c>
      <c r="E425" s="14">
        <v>1410</v>
      </c>
      <c r="F425" s="15">
        <v>439.75</v>
      </c>
      <c r="G425" s="15">
        <v>620047.5</v>
      </c>
      <c r="H425" s="14" t="s">
        <v>1427</v>
      </c>
      <c r="I425" s="14" t="s">
        <v>1889</v>
      </c>
    </row>
    <row r="426" spans="1:9" ht="15" customHeight="1" x14ac:dyDescent="0.2">
      <c r="A426" s="14" t="s">
        <v>1228</v>
      </c>
      <c r="B426" s="16">
        <v>45938</v>
      </c>
      <c r="C426" s="14" t="s">
        <v>1449</v>
      </c>
      <c r="D426" s="14" t="s">
        <v>46</v>
      </c>
      <c r="E426" s="14">
        <v>339</v>
      </c>
      <c r="F426" s="15">
        <v>346.39</v>
      </c>
      <c r="G426" s="15">
        <v>117426.21</v>
      </c>
      <c r="H426" s="14" t="s">
        <v>1432</v>
      </c>
      <c r="I426" s="14" t="s">
        <v>1890</v>
      </c>
    </row>
    <row r="427" spans="1:9" ht="15" customHeight="1" x14ac:dyDescent="0.2">
      <c r="A427" s="14" t="s">
        <v>1230</v>
      </c>
      <c r="B427" s="16">
        <v>45999</v>
      </c>
      <c r="C427" s="14" t="s">
        <v>1510</v>
      </c>
      <c r="D427" s="14" t="s">
        <v>44</v>
      </c>
      <c r="E427" s="14">
        <v>680</v>
      </c>
      <c r="F427" s="15">
        <v>389.25</v>
      </c>
      <c r="G427" s="15">
        <v>264690</v>
      </c>
      <c r="H427" s="14" t="s">
        <v>1432</v>
      </c>
      <c r="I427" s="14" t="s">
        <v>1891</v>
      </c>
    </row>
    <row r="428" spans="1:9" ht="15" customHeight="1" x14ac:dyDescent="0.2">
      <c r="A428" s="14" t="s">
        <v>1232</v>
      </c>
      <c r="B428" s="16">
        <v>45943</v>
      </c>
      <c r="C428" s="14" t="s">
        <v>1449</v>
      </c>
      <c r="D428" s="14" t="s">
        <v>46</v>
      </c>
      <c r="E428" s="14">
        <v>516</v>
      </c>
      <c r="F428" s="15">
        <v>342.6</v>
      </c>
      <c r="G428" s="15">
        <v>176781.6</v>
      </c>
      <c r="H428" s="14" t="s">
        <v>1432</v>
      </c>
      <c r="I428" s="14" t="s">
        <v>1892</v>
      </c>
    </row>
    <row r="429" spans="1:9" ht="15" customHeight="1" x14ac:dyDescent="0.2">
      <c r="A429" s="14" t="s">
        <v>1234</v>
      </c>
      <c r="B429" s="16">
        <v>45954</v>
      </c>
      <c r="C429" s="14" t="s">
        <v>1456</v>
      </c>
      <c r="D429" s="14" t="s">
        <v>42</v>
      </c>
      <c r="E429" s="14">
        <v>1992</v>
      </c>
      <c r="F429" s="15">
        <v>334.23</v>
      </c>
      <c r="G429" s="15">
        <v>665786.16</v>
      </c>
      <c r="H429" s="14" t="s">
        <v>1427</v>
      </c>
      <c r="I429" s="14" t="s">
        <v>1893</v>
      </c>
    </row>
    <row r="430" spans="1:9" ht="15" customHeight="1" x14ac:dyDescent="0.2">
      <c r="A430" s="14" t="s">
        <v>1237</v>
      </c>
      <c r="B430" s="16">
        <v>45948</v>
      </c>
      <c r="C430" s="14" t="s">
        <v>1510</v>
      </c>
      <c r="D430" s="14" t="s">
        <v>36</v>
      </c>
      <c r="E430" s="14">
        <v>1358</v>
      </c>
      <c r="F430" s="15">
        <v>300.43</v>
      </c>
      <c r="G430" s="15">
        <v>407983.94</v>
      </c>
      <c r="H430" s="14" t="s">
        <v>1432</v>
      </c>
      <c r="I430" s="14" t="s">
        <v>1894</v>
      </c>
    </row>
    <row r="431" spans="1:9" ht="15" customHeight="1" x14ac:dyDescent="0.2">
      <c r="A431" s="14" t="s">
        <v>1239</v>
      </c>
      <c r="B431" s="16">
        <v>45984</v>
      </c>
      <c r="C431" s="14" t="s">
        <v>1478</v>
      </c>
      <c r="D431" s="14" t="s">
        <v>36</v>
      </c>
      <c r="E431" s="14">
        <v>802</v>
      </c>
      <c r="F431" s="15">
        <v>149.80000000000001</v>
      </c>
      <c r="G431" s="15">
        <v>120139.6</v>
      </c>
      <c r="H431" s="14" t="s">
        <v>1427</v>
      </c>
      <c r="I431" s="14" t="s">
        <v>1895</v>
      </c>
    </row>
    <row r="432" spans="1:9" ht="15" customHeight="1" x14ac:dyDescent="0.2">
      <c r="A432" s="14" t="s">
        <v>1241</v>
      </c>
      <c r="B432" s="16">
        <v>45958</v>
      </c>
      <c r="C432" s="14" t="s">
        <v>1445</v>
      </c>
      <c r="D432" s="14" t="s">
        <v>36</v>
      </c>
      <c r="E432" s="14">
        <v>1080</v>
      </c>
      <c r="F432" s="15">
        <v>129.31</v>
      </c>
      <c r="G432" s="15">
        <v>139654.79999999999</v>
      </c>
      <c r="H432" s="14" t="s">
        <v>1427</v>
      </c>
      <c r="I432" s="14" t="s">
        <v>1896</v>
      </c>
    </row>
    <row r="433" spans="1:9" ht="15" customHeight="1" x14ac:dyDescent="0.2">
      <c r="A433" s="14" t="s">
        <v>1243</v>
      </c>
      <c r="B433" s="16">
        <v>46005</v>
      </c>
      <c r="C433" s="14" t="s">
        <v>1456</v>
      </c>
      <c r="D433" s="14" t="s">
        <v>44</v>
      </c>
      <c r="E433" s="14">
        <v>1734</v>
      </c>
      <c r="F433" s="15">
        <v>313.82</v>
      </c>
      <c r="G433" s="15">
        <v>544163.88</v>
      </c>
      <c r="H433" s="14" t="s">
        <v>1427</v>
      </c>
      <c r="I433" s="14" t="s">
        <v>1897</v>
      </c>
    </row>
    <row r="434" spans="1:9" ht="15" customHeight="1" x14ac:dyDescent="0.2">
      <c r="A434" s="14" t="s">
        <v>1245</v>
      </c>
      <c r="B434" s="16">
        <v>45998</v>
      </c>
      <c r="C434" s="14" t="s">
        <v>1458</v>
      </c>
      <c r="D434" s="14" t="s">
        <v>46</v>
      </c>
      <c r="E434" s="14">
        <v>246</v>
      </c>
      <c r="F434" s="15">
        <v>170.75</v>
      </c>
      <c r="G434" s="15">
        <v>42004.5</v>
      </c>
      <c r="H434" s="14" t="s">
        <v>1427</v>
      </c>
      <c r="I434" s="14" t="s">
        <v>1898</v>
      </c>
    </row>
    <row r="435" spans="1:9" ht="15" customHeight="1" x14ac:dyDescent="0.2">
      <c r="A435" s="14" t="s">
        <v>1247</v>
      </c>
      <c r="B435" s="16">
        <v>45963</v>
      </c>
      <c r="C435" s="14" t="s">
        <v>1449</v>
      </c>
      <c r="D435" s="14" t="s">
        <v>47</v>
      </c>
      <c r="E435" s="14">
        <v>1339</v>
      </c>
      <c r="F435" s="15">
        <v>10.14</v>
      </c>
      <c r="G435" s="15">
        <v>13577.46</v>
      </c>
      <c r="H435" s="14" t="s">
        <v>1432</v>
      </c>
      <c r="I435" s="14" t="s">
        <v>1899</v>
      </c>
    </row>
    <row r="436" spans="1:9" ht="15" customHeight="1" x14ac:dyDescent="0.2">
      <c r="A436" s="14" t="s">
        <v>1250</v>
      </c>
      <c r="B436" s="16">
        <v>45982</v>
      </c>
      <c r="C436" s="14" t="s">
        <v>1510</v>
      </c>
      <c r="D436" s="14" t="s">
        <v>45</v>
      </c>
      <c r="E436" s="14">
        <v>209</v>
      </c>
      <c r="F436" s="15">
        <v>253.35</v>
      </c>
      <c r="G436" s="15">
        <v>52950.15</v>
      </c>
      <c r="H436" s="14" t="s">
        <v>1427</v>
      </c>
      <c r="I436" s="14" t="s">
        <v>1900</v>
      </c>
    </row>
    <row r="437" spans="1:9" ht="15" customHeight="1" x14ac:dyDescent="0.2">
      <c r="A437" s="14" t="s">
        <v>1253</v>
      </c>
      <c r="B437" s="16">
        <v>45934</v>
      </c>
      <c r="C437" s="14" t="s">
        <v>1494</v>
      </c>
      <c r="D437" s="14" t="s">
        <v>46</v>
      </c>
      <c r="E437" s="14">
        <v>644</v>
      </c>
      <c r="F437" s="15">
        <v>63.03</v>
      </c>
      <c r="G437" s="15">
        <v>40591.32</v>
      </c>
      <c r="H437" s="14" t="s">
        <v>1427</v>
      </c>
      <c r="I437" s="14" t="s">
        <v>1901</v>
      </c>
    </row>
    <row r="438" spans="1:9" ht="15" customHeight="1" x14ac:dyDescent="0.2">
      <c r="A438" s="14" t="s">
        <v>1255</v>
      </c>
      <c r="B438" s="16">
        <v>46011</v>
      </c>
      <c r="C438" s="14" t="s">
        <v>1474</v>
      </c>
      <c r="D438" s="14" t="s">
        <v>46</v>
      </c>
      <c r="E438" s="14">
        <v>305</v>
      </c>
      <c r="F438" s="15">
        <v>445.84</v>
      </c>
      <c r="G438" s="15">
        <v>135981.20000000001</v>
      </c>
      <c r="H438" s="14" t="s">
        <v>1432</v>
      </c>
      <c r="I438" s="14" t="s">
        <v>1902</v>
      </c>
    </row>
    <row r="439" spans="1:9" ht="15" customHeight="1" x14ac:dyDescent="0.2">
      <c r="A439" s="14" t="s">
        <v>1257</v>
      </c>
      <c r="B439" s="16">
        <v>45982</v>
      </c>
      <c r="C439" s="14" t="s">
        <v>1480</v>
      </c>
      <c r="D439" s="14" t="s">
        <v>39</v>
      </c>
      <c r="E439" s="14">
        <v>169</v>
      </c>
      <c r="F439" s="15">
        <v>411.3</v>
      </c>
      <c r="G439" s="15">
        <v>69509.7</v>
      </c>
      <c r="H439" s="14" t="s">
        <v>1432</v>
      </c>
      <c r="I439" s="14" t="s">
        <v>1903</v>
      </c>
    </row>
    <row r="440" spans="1:9" ht="15" customHeight="1" x14ac:dyDescent="0.2">
      <c r="A440" s="14" t="s">
        <v>1261</v>
      </c>
      <c r="B440" s="16">
        <v>46009</v>
      </c>
      <c r="C440" s="14" t="s">
        <v>1449</v>
      </c>
      <c r="D440" s="14" t="s">
        <v>46</v>
      </c>
      <c r="E440" s="14">
        <v>1264</v>
      </c>
      <c r="F440" s="15">
        <v>324.99</v>
      </c>
      <c r="G440" s="15">
        <v>410787.36</v>
      </c>
      <c r="H440" s="14" t="s">
        <v>1432</v>
      </c>
      <c r="I440" s="14" t="s">
        <v>1904</v>
      </c>
    </row>
    <row r="441" spans="1:9" ht="15" customHeight="1" x14ac:dyDescent="0.2">
      <c r="A441" s="14" t="s">
        <v>1263</v>
      </c>
      <c r="B441" s="16">
        <v>45992</v>
      </c>
      <c r="C441" s="14" t="s">
        <v>1478</v>
      </c>
      <c r="D441" s="14" t="s">
        <v>45</v>
      </c>
      <c r="E441" s="14">
        <v>995</v>
      </c>
      <c r="F441" s="15">
        <v>269.27</v>
      </c>
      <c r="G441" s="15">
        <v>267923.65000000002</v>
      </c>
      <c r="H441" s="14" t="s">
        <v>1432</v>
      </c>
      <c r="I441" s="14" t="s">
        <v>1905</v>
      </c>
    </row>
    <row r="442" spans="1:9" ht="15" customHeight="1" x14ac:dyDescent="0.2">
      <c r="A442" s="14" t="s">
        <v>1265</v>
      </c>
      <c r="B442" s="16">
        <v>45979</v>
      </c>
      <c r="C442" s="14" t="s">
        <v>1474</v>
      </c>
      <c r="D442" s="14" t="s">
        <v>39</v>
      </c>
      <c r="E442" s="14">
        <v>640</v>
      </c>
      <c r="F442" s="15">
        <v>247.71</v>
      </c>
      <c r="G442" s="15">
        <v>158534.39999999999</v>
      </c>
      <c r="H442" s="14" t="s">
        <v>1432</v>
      </c>
      <c r="I442" s="14" t="s">
        <v>1906</v>
      </c>
    </row>
    <row r="443" spans="1:9" ht="15" customHeight="1" x14ac:dyDescent="0.2">
      <c r="A443" s="14" t="s">
        <v>1269</v>
      </c>
      <c r="B443" s="16">
        <v>45955</v>
      </c>
      <c r="C443" s="14" t="s">
        <v>1445</v>
      </c>
      <c r="D443" s="14" t="s">
        <v>44</v>
      </c>
      <c r="E443" s="14">
        <v>1363</v>
      </c>
      <c r="F443" s="15">
        <v>443.01</v>
      </c>
      <c r="G443" s="15">
        <v>603822.63</v>
      </c>
      <c r="H443" s="14" t="s">
        <v>1427</v>
      </c>
      <c r="I443" s="14" t="s">
        <v>1907</v>
      </c>
    </row>
    <row r="444" spans="1:9" ht="15" customHeight="1" x14ac:dyDescent="0.2">
      <c r="A444" s="14" t="s">
        <v>1271</v>
      </c>
      <c r="B444" s="16">
        <v>46007</v>
      </c>
      <c r="C444" s="14" t="s">
        <v>1447</v>
      </c>
      <c r="D444" s="14" t="s">
        <v>47</v>
      </c>
      <c r="E444" s="14">
        <v>1499</v>
      </c>
      <c r="F444" s="15">
        <v>255.03</v>
      </c>
      <c r="G444" s="15">
        <v>382289.97</v>
      </c>
      <c r="H444" s="14" t="s">
        <v>1432</v>
      </c>
      <c r="I444" s="14" t="s">
        <v>1908</v>
      </c>
    </row>
    <row r="445" spans="1:9" ht="15" customHeight="1" x14ac:dyDescent="0.2">
      <c r="A445" s="14" t="s">
        <v>1273</v>
      </c>
      <c r="B445" s="16">
        <v>45987</v>
      </c>
      <c r="C445" s="14" t="s">
        <v>1452</v>
      </c>
      <c r="D445" s="14" t="s">
        <v>47</v>
      </c>
      <c r="E445" s="14">
        <v>1096</v>
      </c>
      <c r="F445" s="15">
        <v>55.21</v>
      </c>
      <c r="G445" s="15">
        <v>60510.16</v>
      </c>
      <c r="H445" s="14" t="s">
        <v>1432</v>
      </c>
      <c r="I445" s="14" t="s">
        <v>1909</v>
      </c>
    </row>
    <row r="446" spans="1:9" ht="15" customHeight="1" x14ac:dyDescent="0.2">
      <c r="A446" s="14" t="s">
        <v>1275</v>
      </c>
      <c r="B446" s="16">
        <v>46017</v>
      </c>
      <c r="C446" s="14" t="s">
        <v>1454</v>
      </c>
      <c r="D446" s="14" t="s">
        <v>44</v>
      </c>
      <c r="E446" s="14">
        <v>84</v>
      </c>
      <c r="F446" s="15">
        <v>33.57</v>
      </c>
      <c r="G446" s="15">
        <v>2819.88</v>
      </c>
      <c r="H446" s="14" t="s">
        <v>1432</v>
      </c>
      <c r="I446" s="14" t="s">
        <v>1910</v>
      </c>
    </row>
    <row r="447" spans="1:9" ht="15" customHeight="1" x14ac:dyDescent="0.2">
      <c r="A447" s="14" t="s">
        <v>1277</v>
      </c>
      <c r="B447" s="16">
        <v>45955</v>
      </c>
      <c r="C447" s="14" t="s">
        <v>1510</v>
      </c>
      <c r="D447" s="14" t="s">
        <v>47</v>
      </c>
      <c r="E447" s="14">
        <v>1982</v>
      </c>
      <c r="F447" s="15">
        <v>111.53</v>
      </c>
      <c r="G447" s="15">
        <v>221052.46</v>
      </c>
      <c r="H447" s="14" t="s">
        <v>1427</v>
      </c>
      <c r="I447" s="14" t="s">
        <v>1911</v>
      </c>
    </row>
    <row r="448" spans="1:9" ht="15" customHeight="1" x14ac:dyDescent="0.2">
      <c r="A448" s="14" t="s">
        <v>1279</v>
      </c>
      <c r="B448" s="16">
        <v>45969</v>
      </c>
      <c r="C448" s="14" t="s">
        <v>1456</v>
      </c>
      <c r="D448" s="14" t="s">
        <v>45</v>
      </c>
      <c r="E448" s="14">
        <v>442</v>
      </c>
      <c r="F448" s="15">
        <v>260.33</v>
      </c>
      <c r="G448" s="15">
        <v>115065.86</v>
      </c>
      <c r="H448" s="14" t="s">
        <v>1432</v>
      </c>
      <c r="I448" s="14" t="s">
        <v>1912</v>
      </c>
    </row>
    <row r="449" spans="1:9" ht="15" customHeight="1" x14ac:dyDescent="0.2">
      <c r="A449" s="14" t="s">
        <v>1281</v>
      </c>
      <c r="B449" s="16">
        <v>45966</v>
      </c>
      <c r="C449" s="14" t="s">
        <v>1445</v>
      </c>
      <c r="D449" s="14" t="s">
        <v>46</v>
      </c>
      <c r="E449" s="14">
        <v>1061</v>
      </c>
      <c r="F449" s="15">
        <v>451.24</v>
      </c>
      <c r="G449" s="15">
        <v>478765.64</v>
      </c>
      <c r="H449" s="14" t="s">
        <v>1427</v>
      </c>
      <c r="I449" s="14" t="s">
        <v>1913</v>
      </c>
    </row>
    <row r="450" spans="1:9" ht="15" customHeight="1" x14ac:dyDescent="0.2">
      <c r="A450" s="14" t="s">
        <v>1284</v>
      </c>
      <c r="B450" s="16">
        <v>45946</v>
      </c>
      <c r="C450" s="14" t="s">
        <v>1458</v>
      </c>
      <c r="D450" s="14" t="s">
        <v>39</v>
      </c>
      <c r="E450" s="14">
        <v>217</v>
      </c>
      <c r="F450" s="15">
        <v>445.12</v>
      </c>
      <c r="G450" s="15">
        <v>96591.039999999994</v>
      </c>
      <c r="H450" s="14" t="s">
        <v>1427</v>
      </c>
      <c r="I450" s="14" t="s">
        <v>1914</v>
      </c>
    </row>
    <row r="451" spans="1:9" ht="15" customHeight="1" x14ac:dyDescent="0.2">
      <c r="A451" s="14" t="s">
        <v>1288</v>
      </c>
      <c r="B451" s="16">
        <v>46004</v>
      </c>
      <c r="C451" s="14" t="s">
        <v>1508</v>
      </c>
      <c r="D451" s="14" t="s">
        <v>44</v>
      </c>
      <c r="E451" s="14">
        <v>1261</v>
      </c>
      <c r="F451" s="15">
        <v>185.98</v>
      </c>
      <c r="G451" s="15">
        <v>234520.78</v>
      </c>
      <c r="H451" s="14" t="s">
        <v>1432</v>
      </c>
      <c r="I451" s="14" t="s">
        <v>1915</v>
      </c>
    </row>
    <row r="452" spans="1:9" ht="15" customHeight="1" x14ac:dyDescent="0.2">
      <c r="A452" s="14" t="s">
        <v>1291</v>
      </c>
      <c r="B452" s="16">
        <v>45939</v>
      </c>
      <c r="C452" s="14" t="s">
        <v>1452</v>
      </c>
      <c r="D452" s="14" t="s">
        <v>47</v>
      </c>
      <c r="E452" s="14">
        <v>1569</v>
      </c>
      <c r="F452" s="15">
        <v>215.97</v>
      </c>
      <c r="G452" s="15">
        <v>338856.93</v>
      </c>
      <c r="H452" s="14" t="s">
        <v>1432</v>
      </c>
      <c r="I452" s="14" t="s">
        <v>1916</v>
      </c>
    </row>
    <row r="453" spans="1:9" ht="15" customHeight="1" x14ac:dyDescent="0.2">
      <c r="A453" s="14" t="s">
        <v>1293</v>
      </c>
      <c r="B453" s="16">
        <v>45934</v>
      </c>
      <c r="C453" s="14" t="s">
        <v>1466</v>
      </c>
      <c r="D453" s="14" t="s">
        <v>46</v>
      </c>
      <c r="E453" s="14">
        <v>859</v>
      </c>
      <c r="F453" s="15">
        <v>216.87</v>
      </c>
      <c r="G453" s="15">
        <v>186291.33</v>
      </c>
      <c r="H453" s="14" t="s">
        <v>1427</v>
      </c>
      <c r="I453" s="14" t="s">
        <v>1917</v>
      </c>
    </row>
    <row r="454" spans="1:9" ht="15" customHeight="1" x14ac:dyDescent="0.2">
      <c r="A454" s="14" t="s">
        <v>1295</v>
      </c>
      <c r="B454" s="16">
        <v>46008</v>
      </c>
      <c r="C454" s="14" t="s">
        <v>1445</v>
      </c>
      <c r="D454" s="14" t="s">
        <v>36</v>
      </c>
      <c r="E454" s="14">
        <v>220</v>
      </c>
      <c r="F454" s="15">
        <v>321.33</v>
      </c>
      <c r="G454" s="15">
        <v>70692.600000000006</v>
      </c>
      <c r="H454" s="14" t="s">
        <v>1427</v>
      </c>
      <c r="I454" s="14" t="s">
        <v>1918</v>
      </c>
    </row>
    <row r="455" spans="1:9" ht="15" customHeight="1" x14ac:dyDescent="0.2">
      <c r="A455" s="14" t="s">
        <v>1297</v>
      </c>
      <c r="B455" s="16">
        <v>46000</v>
      </c>
      <c r="C455" s="14" t="s">
        <v>1474</v>
      </c>
      <c r="D455" s="14" t="s">
        <v>46</v>
      </c>
      <c r="E455" s="14">
        <v>950</v>
      </c>
      <c r="F455" s="15">
        <v>398.68</v>
      </c>
      <c r="G455" s="15">
        <v>378746</v>
      </c>
      <c r="H455" s="14" t="s">
        <v>1432</v>
      </c>
      <c r="I455" s="14" t="s">
        <v>1919</v>
      </c>
    </row>
    <row r="456" spans="1:9" ht="15" customHeight="1" x14ac:dyDescent="0.2">
      <c r="A456" s="14" t="s">
        <v>1300</v>
      </c>
      <c r="B456" s="16">
        <v>46002</v>
      </c>
      <c r="C456" s="14" t="s">
        <v>1508</v>
      </c>
      <c r="D456" s="14" t="s">
        <v>36</v>
      </c>
      <c r="E456" s="14">
        <v>1112</v>
      </c>
      <c r="F456" s="15">
        <v>38.39</v>
      </c>
      <c r="G456" s="15">
        <v>42689.68</v>
      </c>
      <c r="H456" s="14" t="s">
        <v>1432</v>
      </c>
      <c r="I456" s="14" t="s">
        <v>1920</v>
      </c>
    </row>
    <row r="457" spans="1:9" ht="15" customHeight="1" x14ac:dyDescent="0.2">
      <c r="A457" s="14" t="s">
        <v>1302</v>
      </c>
      <c r="B457" s="16">
        <v>45943</v>
      </c>
      <c r="C457" s="14" t="s">
        <v>1480</v>
      </c>
      <c r="D457" s="14" t="s">
        <v>47</v>
      </c>
      <c r="E457" s="14">
        <v>1095</v>
      </c>
      <c r="F457" s="15">
        <v>254.02</v>
      </c>
      <c r="G457" s="15">
        <v>278151.90000000002</v>
      </c>
      <c r="H457" s="14" t="s">
        <v>1427</v>
      </c>
      <c r="I457" s="14" t="s">
        <v>1921</v>
      </c>
    </row>
    <row r="458" spans="1:9" ht="15" customHeight="1" x14ac:dyDescent="0.2">
      <c r="A458" s="14" t="s">
        <v>1304</v>
      </c>
      <c r="B458" s="16">
        <v>45965</v>
      </c>
      <c r="C458" s="14" t="s">
        <v>1494</v>
      </c>
      <c r="D458" s="14" t="s">
        <v>36</v>
      </c>
      <c r="E458" s="14">
        <v>81</v>
      </c>
      <c r="F458" s="15">
        <v>407.2</v>
      </c>
      <c r="G458" s="15">
        <v>32983.199999999997</v>
      </c>
      <c r="H458" s="14" t="s">
        <v>1427</v>
      </c>
      <c r="I458" s="14" t="s">
        <v>1922</v>
      </c>
    </row>
    <row r="459" spans="1:9" ht="15" customHeight="1" x14ac:dyDescent="0.2">
      <c r="A459" s="14" t="s">
        <v>1306</v>
      </c>
      <c r="B459" s="16">
        <v>45962</v>
      </c>
      <c r="C459" s="14" t="s">
        <v>1447</v>
      </c>
      <c r="D459" s="14" t="s">
        <v>44</v>
      </c>
      <c r="E459" s="14">
        <v>273</v>
      </c>
      <c r="F459" s="15">
        <v>52.27</v>
      </c>
      <c r="G459" s="15">
        <v>14269.71</v>
      </c>
      <c r="H459" s="14" t="s">
        <v>1432</v>
      </c>
      <c r="I459" s="14" t="s">
        <v>1923</v>
      </c>
    </row>
    <row r="460" spans="1:9" ht="15" customHeight="1" x14ac:dyDescent="0.2">
      <c r="A460" s="14" t="s">
        <v>1308</v>
      </c>
      <c r="B460" s="16">
        <v>45989</v>
      </c>
      <c r="C460" s="14" t="s">
        <v>1508</v>
      </c>
      <c r="D460" s="14" t="s">
        <v>42</v>
      </c>
      <c r="E460" s="14">
        <v>1287</v>
      </c>
      <c r="F460" s="15">
        <v>10.95</v>
      </c>
      <c r="G460" s="15">
        <v>14092.65</v>
      </c>
      <c r="H460" s="14" t="s">
        <v>1432</v>
      </c>
      <c r="I460" s="14" t="s">
        <v>1924</v>
      </c>
    </row>
    <row r="461" spans="1:9" ht="15" customHeight="1" x14ac:dyDescent="0.2">
      <c r="A461" s="14" t="s">
        <v>1311</v>
      </c>
      <c r="B461" s="16">
        <v>46001</v>
      </c>
      <c r="C461" s="14" t="s">
        <v>1445</v>
      </c>
      <c r="D461" s="14" t="s">
        <v>39</v>
      </c>
      <c r="E461" s="14">
        <v>1783</v>
      </c>
      <c r="F461" s="15">
        <v>27.7</v>
      </c>
      <c r="G461" s="15">
        <v>49389.1</v>
      </c>
      <c r="H461" s="14" t="s">
        <v>1432</v>
      </c>
      <c r="I461" s="14" t="s">
        <v>1925</v>
      </c>
    </row>
    <row r="462" spans="1:9" ht="15" customHeight="1" x14ac:dyDescent="0.2">
      <c r="A462" s="14" t="s">
        <v>1315</v>
      </c>
      <c r="B462" s="16">
        <v>45978</v>
      </c>
      <c r="C462" s="14" t="s">
        <v>1458</v>
      </c>
      <c r="D462" s="14" t="s">
        <v>36</v>
      </c>
      <c r="E462" s="14">
        <v>856</v>
      </c>
      <c r="F462" s="15">
        <v>478.43</v>
      </c>
      <c r="G462" s="15">
        <v>409536.08</v>
      </c>
      <c r="H462" s="14" t="s">
        <v>1432</v>
      </c>
      <c r="I462" s="14" t="s">
        <v>1926</v>
      </c>
    </row>
    <row r="463" spans="1:9" ht="15" customHeight="1" x14ac:dyDescent="0.2">
      <c r="A463" s="14" t="s">
        <v>1318</v>
      </c>
      <c r="B463" s="16">
        <v>45968</v>
      </c>
      <c r="C463" s="14" t="s">
        <v>1454</v>
      </c>
      <c r="D463" s="14" t="s">
        <v>45</v>
      </c>
      <c r="E463" s="14">
        <v>929</v>
      </c>
      <c r="F463" s="15">
        <v>498.37</v>
      </c>
      <c r="G463" s="15">
        <v>462985.73</v>
      </c>
      <c r="H463" s="14" t="s">
        <v>1432</v>
      </c>
      <c r="I463" s="14" t="s">
        <v>1927</v>
      </c>
    </row>
    <row r="464" spans="1:9" ht="15" customHeight="1" x14ac:dyDescent="0.2">
      <c r="A464" s="14" t="s">
        <v>1320</v>
      </c>
      <c r="B464" s="16">
        <v>46004</v>
      </c>
      <c r="C464" s="14" t="s">
        <v>1445</v>
      </c>
      <c r="D464" s="14" t="s">
        <v>45</v>
      </c>
      <c r="E464" s="14">
        <v>984</v>
      </c>
      <c r="F464" s="15">
        <v>475.44</v>
      </c>
      <c r="G464" s="15">
        <v>467832.96</v>
      </c>
      <c r="H464" s="14" t="s">
        <v>1432</v>
      </c>
      <c r="I464" s="14" t="s">
        <v>1928</v>
      </c>
    </row>
    <row r="465" spans="1:9" ht="15" customHeight="1" x14ac:dyDescent="0.2">
      <c r="A465" s="14" t="s">
        <v>1326</v>
      </c>
      <c r="B465" s="16">
        <v>46000</v>
      </c>
      <c r="C465" s="14" t="s">
        <v>1452</v>
      </c>
      <c r="D465" s="14" t="s">
        <v>47</v>
      </c>
      <c r="E465" s="14">
        <v>731</v>
      </c>
      <c r="F465" s="15">
        <v>447.21</v>
      </c>
      <c r="G465" s="15">
        <v>326910.51</v>
      </c>
      <c r="H465" s="14" t="s">
        <v>1432</v>
      </c>
      <c r="I465" s="14" t="s">
        <v>1929</v>
      </c>
    </row>
    <row r="466" spans="1:9" ht="15" customHeight="1" x14ac:dyDescent="0.2">
      <c r="A466" s="14" t="s">
        <v>1328</v>
      </c>
      <c r="B466" s="16">
        <v>46004</v>
      </c>
      <c r="C466" s="14" t="s">
        <v>1494</v>
      </c>
      <c r="D466" s="14" t="s">
        <v>47</v>
      </c>
      <c r="E466" s="14">
        <v>142</v>
      </c>
      <c r="F466" s="15">
        <v>389.21</v>
      </c>
      <c r="G466" s="15">
        <v>55267.82</v>
      </c>
      <c r="H466" s="14" t="s">
        <v>1432</v>
      </c>
      <c r="I466" s="14" t="s">
        <v>1930</v>
      </c>
    </row>
    <row r="467" spans="1:9" ht="15" customHeight="1" x14ac:dyDescent="0.2">
      <c r="A467" s="14" t="s">
        <v>1331</v>
      </c>
      <c r="B467" s="16">
        <v>46015</v>
      </c>
      <c r="C467" s="14" t="s">
        <v>1466</v>
      </c>
      <c r="D467" s="14" t="s">
        <v>46</v>
      </c>
      <c r="E467" s="14">
        <v>170</v>
      </c>
      <c r="F467" s="15">
        <v>278.87</v>
      </c>
      <c r="G467" s="15">
        <v>47407.9</v>
      </c>
      <c r="H467" s="14" t="s">
        <v>1432</v>
      </c>
      <c r="I467" s="14" t="s">
        <v>1931</v>
      </c>
    </row>
    <row r="468" spans="1:9" ht="15" customHeight="1" x14ac:dyDescent="0.2">
      <c r="A468" s="14" t="s">
        <v>1333</v>
      </c>
      <c r="B468" s="16">
        <v>46008</v>
      </c>
      <c r="C468" s="14" t="s">
        <v>1478</v>
      </c>
      <c r="D468" s="14" t="s">
        <v>47</v>
      </c>
      <c r="E468" s="14">
        <v>1949</v>
      </c>
      <c r="F468" s="15">
        <v>201.07</v>
      </c>
      <c r="G468" s="15">
        <v>391885.43</v>
      </c>
      <c r="H468" s="14" t="s">
        <v>1432</v>
      </c>
      <c r="I468" s="14" t="s">
        <v>1932</v>
      </c>
    </row>
    <row r="469" spans="1:9" ht="15" customHeight="1" x14ac:dyDescent="0.2">
      <c r="A469" s="14" t="s">
        <v>1335</v>
      </c>
      <c r="B469" s="16">
        <v>46018</v>
      </c>
      <c r="C469" s="14" t="s">
        <v>1454</v>
      </c>
      <c r="D469" s="14" t="s">
        <v>39</v>
      </c>
      <c r="E469" s="14">
        <v>391</v>
      </c>
      <c r="F469" s="15">
        <v>417.76</v>
      </c>
      <c r="G469" s="15">
        <v>163344.16</v>
      </c>
      <c r="H469" s="14" t="s">
        <v>1432</v>
      </c>
      <c r="I469" s="14" t="s">
        <v>1933</v>
      </c>
    </row>
    <row r="470" spans="1:9" ht="15" customHeight="1" x14ac:dyDescent="0.2">
      <c r="A470" s="14" t="s">
        <v>1339</v>
      </c>
      <c r="B470" s="16">
        <v>45955</v>
      </c>
      <c r="C470" s="14" t="s">
        <v>1468</v>
      </c>
      <c r="D470" s="14" t="s">
        <v>44</v>
      </c>
      <c r="E470" s="14">
        <v>59</v>
      </c>
      <c r="F470" s="15">
        <v>485.83</v>
      </c>
      <c r="G470" s="15">
        <v>28663.97</v>
      </c>
      <c r="H470" s="14" t="s">
        <v>1427</v>
      </c>
      <c r="I470" s="14" t="s">
        <v>1934</v>
      </c>
    </row>
    <row r="471" spans="1:9" ht="15" customHeight="1" x14ac:dyDescent="0.2">
      <c r="A471" s="14" t="s">
        <v>1341</v>
      </c>
      <c r="B471" s="16">
        <v>45956</v>
      </c>
      <c r="C471" s="14" t="s">
        <v>1494</v>
      </c>
      <c r="D471" s="14" t="s">
        <v>42</v>
      </c>
      <c r="E471" s="14">
        <v>1808</v>
      </c>
      <c r="F471" s="15">
        <v>384.3</v>
      </c>
      <c r="G471" s="15">
        <v>694814.4</v>
      </c>
      <c r="H471" s="14" t="s">
        <v>1427</v>
      </c>
      <c r="I471" s="14" t="s">
        <v>1935</v>
      </c>
    </row>
    <row r="472" spans="1:9" ht="15" customHeight="1" x14ac:dyDescent="0.2">
      <c r="A472" s="14" t="s">
        <v>1343</v>
      </c>
      <c r="B472" s="16">
        <v>45941</v>
      </c>
      <c r="C472" s="14" t="s">
        <v>1456</v>
      </c>
      <c r="D472" s="14" t="s">
        <v>42</v>
      </c>
      <c r="E472" s="14">
        <v>1677</v>
      </c>
      <c r="F472" s="15">
        <v>254.41</v>
      </c>
      <c r="G472" s="15">
        <v>426645.57</v>
      </c>
      <c r="H472" s="14" t="s">
        <v>1432</v>
      </c>
      <c r="I472" s="14" t="s">
        <v>1936</v>
      </c>
    </row>
    <row r="473" spans="1:9" ht="15" customHeight="1" x14ac:dyDescent="0.2">
      <c r="A473" s="14" t="s">
        <v>1346</v>
      </c>
      <c r="B473" s="16">
        <v>45931</v>
      </c>
      <c r="C473" s="14" t="s">
        <v>1466</v>
      </c>
      <c r="D473" s="14" t="s">
        <v>46</v>
      </c>
      <c r="E473" s="14">
        <v>1641</v>
      </c>
      <c r="F473" s="15">
        <v>93.61</v>
      </c>
      <c r="G473" s="15">
        <v>153614.01</v>
      </c>
      <c r="H473" s="14" t="s">
        <v>1427</v>
      </c>
      <c r="I473" s="14" t="s">
        <v>1937</v>
      </c>
    </row>
    <row r="474" spans="1:9" ht="15" customHeight="1" x14ac:dyDescent="0.2">
      <c r="A474" s="14" t="s">
        <v>1349</v>
      </c>
      <c r="B474" s="16">
        <v>46010</v>
      </c>
      <c r="C474" s="14" t="s">
        <v>1454</v>
      </c>
      <c r="D474" s="14" t="s">
        <v>47</v>
      </c>
      <c r="E474" s="14">
        <v>1055</v>
      </c>
      <c r="F474" s="15">
        <v>261.06</v>
      </c>
      <c r="G474" s="15">
        <v>275418.3</v>
      </c>
      <c r="H474" s="14" t="s">
        <v>1427</v>
      </c>
      <c r="I474" s="14" t="s">
        <v>1938</v>
      </c>
    </row>
    <row r="475" spans="1:9" ht="15" customHeight="1" x14ac:dyDescent="0.2">
      <c r="A475" s="14" t="s">
        <v>1351</v>
      </c>
      <c r="B475" s="16">
        <v>45971</v>
      </c>
      <c r="C475" s="14" t="s">
        <v>1510</v>
      </c>
      <c r="D475" s="14" t="s">
        <v>39</v>
      </c>
      <c r="E475" s="14">
        <v>681</v>
      </c>
      <c r="F475" s="15">
        <v>8.5299999999999994</v>
      </c>
      <c r="G475" s="15">
        <v>5808.93</v>
      </c>
      <c r="H475" s="14" t="s">
        <v>1432</v>
      </c>
      <c r="I475" s="14" t="s">
        <v>1939</v>
      </c>
    </row>
    <row r="476" spans="1:9" ht="15" customHeight="1" x14ac:dyDescent="0.2">
      <c r="A476" s="14" t="s">
        <v>1358</v>
      </c>
      <c r="B476" s="16">
        <v>46008</v>
      </c>
      <c r="C476" s="14" t="s">
        <v>1508</v>
      </c>
      <c r="D476" s="14" t="s">
        <v>39</v>
      </c>
      <c r="E476" s="14">
        <v>533</v>
      </c>
      <c r="F476" s="15">
        <v>439.11</v>
      </c>
      <c r="G476" s="15">
        <v>234045.63</v>
      </c>
      <c r="H476" s="14" t="s">
        <v>1432</v>
      </c>
      <c r="I476" s="14" t="s">
        <v>1940</v>
      </c>
    </row>
    <row r="477" spans="1:9" ht="15" customHeight="1" x14ac:dyDescent="0.2">
      <c r="A477" s="14" t="s">
        <v>1362</v>
      </c>
      <c r="B477" s="16">
        <v>45962</v>
      </c>
      <c r="C477" s="14" t="s">
        <v>1445</v>
      </c>
      <c r="D477" s="14" t="s">
        <v>45</v>
      </c>
      <c r="E477" s="14">
        <v>41</v>
      </c>
      <c r="F477" s="15">
        <v>197.21</v>
      </c>
      <c r="G477" s="15">
        <v>8085.61</v>
      </c>
      <c r="H477" s="14" t="s">
        <v>1432</v>
      </c>
      <c r="I477" s="14" t="s">
        <v>1941</v>
      </c>
    </row>
    <row r="478" spans="1:9" ht="15" customHeight="1" x14ac:dyDescent="0.2">
      <c r="A478" s="14" t="s">
        <v>1369</v>
      </c>
      <c r="B478" s="16">
        <v>45966</v>
      </c>
      <c r="C478" s="14" t="s">
        <v>1456</v>
      </c>
      <c r="D478" s="14" t="s">
        <v>46</v>
      </c>
      <c r="E478" s="14">
        <v>384</v>
      </c>
      <c r="F478" s="15">
        <v>342.12</v>
      </c>
      <c r="G478" s="15">
        <v>131374.07999999999</v>
      </c>
      <c r="H478" s="14" t="s">
        <v>1432</v>
      </c>
      <c r="I478" s="14" t="s">
        <v>1942</v>
      </c>
    </row>
    <row r="479" spans="1:9" ht="15" customHeight="1" x14ac:dyDescent="0.2">
      <c r="A479" s="14" t="s">
        <v>1375</v>
      </c>
      <c r="B479" s="16">
        <v>45994</v>
      </c>
      <c r="C479" s="14" t="s">
        <v>1456</v>
      </c>
      <c r="D479" s="14" t="s">
        <v>36</v>
      </c>
      <c r="E479" s="14">
        <v>1745</v>
      </c>
      <c r="F479" s="15">
        <v>200.73</v>
      </c>
      <c r="G479" s="15">
        <v>350273.85</v>
      </c>
      <c r="H479" s="14" t="s">
        <v>1427</v>
      </c>
      <c r="I479" s="14" t="s">
        <v>1943</v>
      </c>
    </row>
    <row r="480" spans="1:9" ht="15" customHeight="1" x14ac:dyDescent="0.2">
      <c r="A480" s="14" t="s">
        <v>1364</v>
      </c>
      <c r="B480" s="16">
        <v>45947</v>
      </c>
      <c r="C480" s="14" t="s">
        <v>1944</v>
      </c>
      <c r="D480" s="14" t="s">
        <v>44</v>
      </c>
      <c r="E480" s="14">
        <v>1058</v>
      </c>
      <c r="F480" s="15">
        <v>119.46</v>
      </c>
      <c r="G480" s="15">
        <v>126388.68</v>
      </c>
      <c r="H480" s="14" t="s">
        <v>1432</v>
      </c>
      <c r="I480" s="14" t="s">
        <v>1945</v>
      </c>
    </row>
    <row r="481" spans="1:9" ht="15" customHeight="1" x14ac:dyDescent="0.2">
      <c r="A481" s="14" t="s">
        <v>1322</v>
      </c>
      <c r="B481" s="16">
        <v>45947</v>
      </c>
      <c r="C481" s="14" t="s">
        <v>1944</v>
      </c>
      <c r="D481" s="14" t="s">
        <v>39</v>
      </c>
      <c r="E481" s="14">
        <v>2179</v>
      </c>
      <c r="F481" s="15">
        <v>274.97000000000003</v>
      </c>
      <c r="G481" s="15">
        <v>599159.63</v>
      </c>
      <c r="H481" s="14" t="s">
        <v>1432</v>
      </c>
      <c r="I481" s="14" t="s">
        <v>1946</v>
      </c>
    </row>
    <row r="482" spans="1:9" ht="15" customHeight="1" x14ac:dyDescent="0.2">
      <c r="A482" s="14" t="s">
        <v>1421</v>
      </c>
      <c r="B482" s="16">
        <v>45946</v>
      </c>
      <c r="C482" s="14" t="s">
        <v>1944</v>
      </c>
      <c r="D482" s="14" t="s">
        <v>36</v>
      </c>
      <c r="E482" s="14">
        <v>304</v>
      </c>
      <c r="F482" s="15">
        <v>138.25</v>
      </c>
      <c r="G482" s="15">
        <v>42028</v>
      </c>
      <c r="H482" s="14" t="s">
        <v>1432</v>
      </c>
      <c r="I482" s="14" t="s">
        <v>1947</v>
      </c>
    </row>
    <row r="483" spans="1:9" ht="15" customHeight="1" x14ac:dyDescent="0.2">
      <c r="A483" s="14" t="s">
        <v>1377</v>
      </c>
      <c r="B483" s="16">
        <v>46011</v>
      </c>
      <c r="C483" s="14" t="s">
        <v>1474</v>
      </c>
      <c r="D483" s="14" t="s">
        <v>46</v>
      </c>
      <c r="E483" s="14">
        <v>1327</v>
      </c>
      <c r="F483" s="15">
        <v>111.92</v>
      </c>
      <c r="G483" s="15">
        <v>148517.84</v>
      </c>
      <c r="H483" s="14" t="s">
        <v>1432</v>
      </c>
      <c r="I483" s="14" t="s">
        <v>1948</v>
      </c>
    </row>
    <row r="484" spans="1:9" ht="15" customHeight="1" x14ac:dyDescent="0.2">
      <c r="A484" s="14" t="s">
        <v>1379</v>
      </c>
      <c r="B484" s="16">
        <v>46010</v>
      </c>
      <c r="C484" s="14" t="s">
        <v>1449</v>
      </c>
      <c r="D484" s="14" t="s">
        <v>39</v>
      </c>
      <c r="E484" s="14">
        <v>821</v>
      </c>
      <c r="F484" s="15">
        <v>439.56</v>
      </c>
      <c r="G484" s="15">
        <v>360878.76</v>
      </c>
      <c r="H484" s="14" t="s">
        <v>1432</v>
      </c>
      <c r="I484" s="14" t="s">
        <v>1949</v>
      </c>
    </row>
    <row r="485" spans="1:9" ht="15" customHeight="1" x14ac:dyDescent="0.2">
      <c r="A485" s="14" t="s">
        <v>1383</v>
      </c>
      <c r="B485" s="16">
        <v>46006</v>
      </c>
      <c r="C485" s="14" t="s">
        <v>1452</v>
      </c>
      <c r="D485" s="14" t="s">
        <v>47</v>
      </c>
      <c r="E485" s="14">
        <v>1934</v>
      </c>
      <c r="F485" s="15">
        <v>282.70999999999998</v>
      </c>
      <c r="G485" s="15">
        <v>546761.14</v>
      </c>
      <c r="H485" s="14" t="s">
        <v>1427</v>
      </c>
      <c r="I485" s="14" t="s">
        <v>1950</v>
      </c>
    </row>
    <row r="486" spans="1:9" ht="15" customHeight="1" x14ac:dyDescent="0.2">
      <c r="A486" s="14" t="s">
        <v>1385</v>
      </c>
      <c r="B486" s="16">
        <v>45992</v>
      </c>
      <c r="C486" s="14" t="s">
        <v>1494</v>
      </c>
      <c r="D486" s="14" t="s">
        <v>46</v>
      </c>
      <c r="E486" s="14">
        <v>1371</v>
      </c>
      <c r="F486" s="15">
        <v>124.15</v>
      </c>
      <c r="G486" s="15">
        <v>170209.65</v>
      </c>
      <c r="H486" s="14" t="s">
        <v>1432</v>
      </c>
      <c r="I486" s="14" t="s">
        <v>1951</v>
      </c>
    </row>
    <row r="487" spans="1:9" ht="15" customHeight="1" x14ac:dyDescent="0.2">
      <c r="A487" s="14" t="s">
        <v>1387</v>
      </c>
      <c r="B487" s="16">
        <v>45978</v>
      </c>
      <c r="C487" s="14" t="s">
        <v>1466</v>
      </c>
      <c r="D487" s="14" t="s">
        <v>44</v>
      </c>
      <c r="E487" s="14">
        <v>1618</v>
      </c>
      <c r="F487" s="15">
        <v>154.08000000000001</v>
      </c>
      <c r="G487" s="15">
        <v>249301.44</v>
      </c>
      <c r="H487" s="14" t="s">
        <v>1427</v>
      </c>
      <c r="I487" s="14" t="s">
        <v>1952</v>
      </c>
    </row>
    <row r="488" spans="1:9" ht="15" customHeight="1" x14ac:dyDescent="0.2">
      <c r="A488" s="14" t="s">
        <v>1389</v>
      </c>
      <c r="B488" s="16">
        <v>46000</v>
      </c>
      <c r="C488" s="14" t="s">
        <v>1454</v>
      </c>
      <c r="D488" s="14" t="s">
        <v>46</v>
      </c>
      <c r="E488" s="14">
        <v>724</v>
      </c>
      <c r="F488" s="15">
        <v>390.3</v>
      </c>
      <c r="G488" s="15">
        <v>282577.2</v>
      </c>
      <c r="H488" s="14" t="s">
        <v>1427</v>
      </c>
      <c r="I488" s="14" t="s">
        <v>1953</v>
      </c>
    </row>
    <row r="489" spans="1:9" ht="15" customHeight="1" x14ac:dyDescent="0.2">
      <c r="A489" s="14" t="s">
        <v>1391</v>
      </c>
      <c r="B489" s="16">
        <v>45987</v>
      </c>
      <c r="C489" s="14" t="s">
        <v>1452</v>
      </c>
      <c r="D489" s="14" t="s">
        <v>45</v>
      </c>
      <c r="E489" s="14">
        <v>1069</v>
      </c>
      <c r="F489" s="15">
        <v>37.83</v>
      </c>
      <c r="G489" s="15">
        <v>40440.269999999997</v>
      </c>
      <c r="H489" s="14" t="s">
        <v>1432</v>
      </c>
      <c r="I489" s="14" t="s">
        <v>1954</v>
      </c>
    </row>
    <row r="490" spans="1:9" ht="15" customHeight="1" x14ac:dyDescent="0.2">
      <c r="A490" s="14" t="s">
        <v>1393</v>
      </c>
      <c r="B490" s="16">
        <v>45977</v>
      </c>
      <c r="C490" s="14" t="s">
        <v>1452</v>
      </c>
      <c r="D490" s="14" t="s">
        <v>42</v>
      </c>
      <c r="E490" s="14">
        <v>1742</v>
      </c>
      <c r="F490" s="15">
        <v>76.91</v>
      </c>
      <c r="G490" s="15">
        <v>133977.22</v>
      </c>
      <c r="H490" s="14" t="s">
        <v>1427</v>
      </c>
      <c r="I490" s="14" t="s">
        <v>1955</v>
      </c>
    </row>
    <row r="491" spans="1:9" ht="15" customHeight="1" x14ac:dyDescent="0.2">
      <c r="A491" s="14" t="s">
        <v>1395</v>
      </c>
      <c r="B491" s="16">
        <v>45949</v>
      </c>
      <c r="C491" s="14" t="s">
        <v>1458</v>
      </c>
      <c r="D491" s="14" t="s">
        <v>39</v>
      </c>
      <c r="E491" s="14">
        <v>1906</v>
      </c>
      <c r="F491" s="15">
        <v>193.61</v>
      </c>
      <c r="G491" s="15">
        <v>369020.66</v>
      </c>
      <c r="H491" s="14" t="s">
        <v>1432</v>
      </c>
      <c r="I491" s="14" t="s">
        <v>1956</v>
      </c>
    </row>
    <row r="492" spans="1:9" ht="15" customHeight="1" x14ac:dyDescent="0.2">
      <c r="A492" s="14" t="s">
        <v>1399</v>
      </c>
      <c r="B492" s="16">
        <v>46016</v>
      </c>
      <c r="C492" s="14" t="s">
        <v>1445</v>
      </c>
      <c r="D492" s="14" t="s">
        <v>36</v>
      </c>
      <c r="E492" s="14">
        <v>1758</v>
      </c>
      <c r="F492" s="15">
        <v>437.75</v>
      </c>
      <c r="G492" s="15">
        <v>769564.5</v>
      </c>
      <c r="H492" s="14" t="s">
        <v>1427</v>
      </c>
      <c r="I492" s="14" t="s">
        <v>1957</v>
      </c>
    </row>
    <row r="493" spans="1:9" ht="15" customHeight="1" x14ac:dyDescent="0.2">
      <c r="A493" s="14" t="s">
        <v>1401</v>
      </c>
      <c r="B493" s="16">
        <v>46004</v>
      </c>
      <c r="C493" s="14" t="s">
        <v>1454</v>
      </c>
      <c r="D493" s="14" t="s">
        <v>36</v>
      </c>
      <c r="E493" s="14">
        <v>468</v>
      </c>
      <c r="F493" s="15">
        <v>418.45</v>
      </c>
      <c r="G493" s="15">
        <v>195834.6</v>
      </c>
      <c r="H493" s="14" t="s">
        <v>1427</v>
      </c>
      <c r="I493" s="14" t="s">
        <v>1958</v>
      </c>
    </row>
    <row r="494" spans="1:9" ht="15" customHeight="1" x14ac:dyDescent="0.2">
      <c r="A494" s="14" t="s">
        <v>1404</v>
      </c>
      <c r="B494" s="16">
        <v>46010</v>
      </c>
      <c r="C494" s="14" t="s">
        <v>1468</v>
      </c>
      <c r="D494" s="14" t="s">
        <v>46</v>
      </c>
      <c r="E494" s="14">
        <v>153</v>
      </c>
      <c r="F494" s="15">
        <v>145.04</v>
      </c>
      <c r="G494" s="15">
        <v>22191.119999999999</v>
      </c>
      <c r="H494" s="14" t="s">
        <v>1432</v>
      </c>
      <c r="I494" s="14" t="s">
        <v>1959</v>
      </c>
    </row>
    <row r="495" spans="1:9" ht="15" customHeight="1" x14ac:dyDescent="0.2">
      <c r="A495" s="14" t="s">
        <v>1406</v>
      </c>
      <c r="B495" s="16">
        <v>45977</v>
      </c>
      <c r="C495" s="14" t="s">
        <v>1454</v>
      </c>
      <c r="D495" s="14" t="s">
        <v>39</v>
      </c>
      <c r="E495" s="14">
        <v>1378</v>
      </c>
      <c r="F495" s="15">
        <v>147.29</v>
      </c>
      <c r="G495" s="15">
        <v>202965.62</v>
      </c>
      <c r="H495" s="14" t="s">
        <v>1427</v>
      </c>
      <c r="I495" s="14" t="s">
        <v>1960</v>
      </c>
    </row>
    <row r="496" spans="1:9" ht="15" customHeight="1" x14ac:dyDescent="0.2">
      <c r="A496" s="14" t="s">
        <v>1410</v>
      </c>
      <c r="B496" s="16">
        <v>45965</v>
      </c>
      <c r="C496" s="14" t="s">
        <v>1458</v>
      </c>
      <c r="D496" s="14" t="s">
        <v>44</v>
      </c>
      <c r="E496" s="14">
        <v>225</v>
      </c>
      <c r="F496" s="15">
        <v>25.26</v>
      </c>
      <c r="G496" s="15">
        <v>5683.5</v>
      </c>
      <c r="H496" s="14" t="s">
        <v>1432</v>
      </c>
      <c r="I496" s="14" t="s">
        <v>1961</v>
      </c>
    </row>
    <row r="497" spans="1:9" ht="15" customHeight="1" x14ac:dyDescent="0.2">
      <c r="A497" s="14" t="s">
        <v>1413</v>
      </c>
      <c r="B497" s="16">
        <v>45989</v>
      </c>
      <c r="C497" s="14" t="s">
        <v>1494</v>
      </c>
      <c r="D497" s="14" t="s">
        <v>47</v>
      </c>
      <c r="E497" s="14">
        <v>629</v>
      </c>
      <c r="F497" s="15">
        <v>234.07</v>
      </c>
      <c r="G497" s="15">
        <v>147230.03</v>
      </c>
      <c r="H497" s="14" t="s">
        <v>1427</v>
      </c>
      <c r="I497" s="14" t="s">
        <v>1962</v>
      </c>
    </row>
    <row r="498" spans="1:9" ht="15" customHeight="1" x14ac:dyDescent="0.2">
      <c r="A498" s="14" t="s">
        <v>1415</v>
      </c>
      <c r="B498" s="16">
        <v>45953</v>
      </c>
      <c r="C498" s="14" t="s">
        <v>1458</v>
      </c>
      <c r="D498" s="14" t="s">
        <v>47</v>
      </c>
      <c r="E498" s="14">
        <v>1118</v>
      </c>
      <c r="F498" s="15">
        <v>244.08</v>
      </c>
      <c r="G498" s="15">
        <v>272881.44</v>
      </c>
      <c r="H498" s="14" t="s">
        <v>1432</v>
      </c>
      <c r="I498" s="14" t="s">
        <v>1963</v>
      </c>
    </row>
    <row r="499" spans="1:9" ht="15" customHeight="1" x14ac:dyDescent="0.2">
      <c r="A499" s="14" t="s">
        <v>1417</v>
      </c>
      <c r="B499" s="16">
        <v>45988</v>
      </c>
      <c r="C499" s="14" t="s">
        <v>1480</v>
      </c>
      <c r="D499" s="14" t="s">
        <v>46</v>
      </c>
      <c r="E499" s="14">
        <v>1766</v>
      </c>
      <c r="F499" s="15">
        <v>244.78</v>
      </c>
      <c r="G499" s="15">
        <v>432281.48</v>
      </c>
      <c r="H499" s="14" t="s">
        <v>1427</v>
      </c>
      <c r="I499" s="14" t="s">
        <v>1964</v>
      </c>
    </row>
    <row r="500" spans="1:9" ht="15" customHeight="1" x14ac:dyDescent="0.2">
      <c r="A500" s="14" t="s">
        <v>1419</v>
      </c>
      <c r="B500" s="16">
        <v>45994</v>
      </c>
      <c r="C500" s="14" t="s">
        <v>1445</v>
      </c>
      <c r="D500" s="14" t="s">
        <v>36</v>
      </c>
      <c r="E500" s="14">
        <v>1067</v>
      </c>
      <c r="F500" s="15">
        <v>52.91</v>
      </c>
      <c r="G500" s="15">
        <v>56454.97</v>
      </c>
      <c r="H500" s="14" t="s">
        <v>1427</v>
      </c>
      <c r="I500" s="14" t="s">
        <v>1965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603"/>
  <sheetViews>
    <sheetView topLeftCell="E1" zoomScaleNormal="100" workbookViewId="0">
      <pane ySplit="1" topLeftCell="A570" activePane="bottomLeft" state="frozen"/>
      <selection pane="bottomLeft" activeCell="W603" sqref="W603"/>
    </sheetView>
  </sheetViews>
  <sheetFormatPr baseColWidth="10" defaultColWidth="8.6640625" defaultRowHeight="15" x14ac:dyDescent="0.2"/>
  <cols>
    <col min="1" max="1" width="11" customWidth="1"/>
    <col min="2" max="2" width="13" customWidth="1"/>
    <col min="3" max="3" width="20" customWidth="1"/>
    <col min="4" max="4" width="18" customWidth="1"/>
    <col min="5" max="6" width="11" customWidth="1"/>
    <col min="7" max="8" width="12" customWidth="1"/>
    <col min="9" max="9" width="13" customWidth="1"/>
    <col min="10" max="10" width="11" customWidth="1"/>
    <col min="11" max="11" width="14" customWidth="1"/>
    <col min="12" max="12" width="12" customWidth="1"/>
    <col min="13" max="14" width="13" customWidth="1"/>
    <col min="15" max="15" width="8" customWidth="1"/>
    <col min="16" max="16" width="11" customWidth="1"/>
    <col min="17" max="17" width="10" customWidth="1"/>
    <col min="18" max="18" width="13" customWidth="1"/>
    <col min="19" max="19" width="12" customWidth="1"/>
    <col min="20" max="21" width="15" customWidth="1"/>
    <col min="22" max="23" width="14" customWidth="1"/>
  </cols>
  <sheetData>
    <row r="1" spans="1:23" s="28" customFormat="1" ht="26.25" customHeight="1" x14ac:dyDescent="0.2">
      <c r="A1" s="27" t="s">
        <v>65</v>
      </c>
      <c r="B1" s="27" t="s">
        <v>64</v>
      </c>
      <c r="C1" s="27" t="s">
        <v>1966</v>
      </c>
      <c r="D1" s="27" t="s">
        <v>29</v>
      </c>
      <c r="E1" s="27" t="s">
        <v>1967</v>
      </c>
      <c r="F1" s="27" t="s">
        <v>1968</v>
      </c>
      <c r="G1" s="27" t="s">
        <v>1969</v>
      </c>
      <c r="H1" s="27" t="s">
        <v>1970</v>
      </c>
      <c r="I1" s="27" t="s">
        <v>1971</v>
      </c>
      <c r="J1" s="27" t="s">
        <v>1972</v>
      </c>
      <c r="K1" s="27" t="s">
        <v>1973</v>
      </c>
      <c r="L1" s="27" t="s">
        <v>1974</v>
      </c>
      <c r="M1" s="27" t="s">
        <v>1975</v>
      </c>
      <c r="N1" s="27" t="s">
        <v>1976</v>
      </c>
      <c r="O1" s="27" t="s">
        <v>1977</v>
      </c>
      <c r="P1" s="27" t="s">
        <v>1978</v>
      </c>
      <c r="Q1" s="27" t="s">
        <v>1979</v>
      </c>
      <c r="R1" s="27" t="s">
        <v>1980</v>
      </c>
      <c r="S1" s="27" t="s">
        <v>35</v>
      </c>
      <c r="T1" s="27" t="s">
        <v>1981</v>
      </c>
      <c r="U1" s="27" t="s">
        <v>1982</v>
      </c>
      <c r="V1" s="27" t="s">
        <v>1983</v>
      </c>
      <c r="W1" s="27" t="s">
        <v>1984</v>
      </c>
    </row>
    <row r="2" spans="1:23" ht="15" customHeight="1" x14ac:dyDescent="0.2">
      <c r="A2" s="14" t="s">
        <v>1985</v>
      </c>
      <c r="B2" s="14" t="s">
        <v>1986</v>
      </c>
      <c r="C2" s="14" t="s">
        <v>1987</v>
      </c>
      <c r="D2" s="14" t="s">
        <v>36</v>
      </c>
      <c r="E2" s="14" t="s">
        <v>1988</v>
      </c>
      <c r="F2" s="14">
        <v>3236</v>
      </c>
      <c r="G2" s="15">
        <v>121.41</v>
      </c>
      <c r="H2" s="16">
        <v>45977</v>
      </c>
      <c r="I2" s="16">
        <v>46086</v>
      </c>
      <c r="J2" s="16"/>
      <c r="K2" s="14" t="s">
        <v>1989</v>
      </c>
      <c r="L2" s="16">
        <f>IF(D2="Packaging","",IF(ISNUMBER(J2),J2,IF(ISNUMBER(I2),EDATE(I2,VLOOKUP(D2,Assumptions!$A$10:$B$16,2,0)),"")))</f>
        <v>46817</v>
      </c>
      <c r="M2" s="14">
        <f>IF(ISNUMBER(L2),L2-Assumptions!$B$5,"")</f>
        <v>795</v>
      </c>
      <c r="N2" s="17">
        <f t="shared" ref="N2:N65" si="0">IF(D2="Packaging",0,IF(NOT(ISNUMBER(L2)),0,IF(M2&lt;0,1,IF(M2&lt;=90,0.5,IF(M2&lt;=180,0.25,0)))))</f>
        <v>0</v>
      </c>
      <c r="O2" s="14">
        <f>IF(COUNTIF(Assumptions!$A$25:$A$27,A2)&gt;0,1,0)</f>
        <v>0</v>
      </c>
      <c r="P2" s="14">
        <f>IF(COUNTIF(Assumptions!$B$25:$B$26,A2)&gt;0,1,0)</f>
        <v>0</v>
      </c>
      <c r="Q2" s="14">
        <f>IF(COUNTIF(Assumptions!$C$25:$C$25,A2)&gt;0,1,0)</f>
        <v>0</v>
      </c>
      <c r="R2" s="17">
        <f t="shared" ref="R2:R65" si="1">IF(OR(O2=1,Q2=1),1,IF(P2=1,0.5,N2))</f>
        <v>0</v>
      </c>
      <c r="S2" s="15" t="str">
        <f>IFERROR(VLOOKUP(A2,Assumptions!$A$31:$B$33,2,0),"")</f>
        <v/>
      </c>
      <c r="T2" s="15">
        <f t="shared" ref="T2:T65" si="2">IF(S2="",G2,MIN(G2,S2))</f>
        <v>121.41</v>
      </c>
      <c r="U2" s="15">
        <f t="shared" ref="U2:U65" si="3">F2*G2</f>
        <v>392882.76</v>
      </c>
      <c r="V2" s="15">
        <f t="shared" ref="V2:V65" si="4">F2*T2*(1-R2)</f>
        <v>392882.76</v>
      </c>
      <c r="W2" s="15">
        <f t="shared" ref="W2:W65" si="5">U2-V2</f>
        <v>0</v>
      </c>
    </row>
    <row r="3" spans="1:23" ht="15" customHeight="1" x14ac:dyDescent="0.2">
      <c r="A3" s="14" t="s">
        <v>1990</v>
      </c>
      <c r="B3" s="14" t="s">
        <v>1991</v>
      </c>
      <c r="C3" s="14" t="s">
        <v>1992</v>
      </c>
      <c r="D3" s="14" t="s">
        <v>45</v>
      </c>
      <c r="E3" s="14" t="s">
        <v>1993</v>
      </c>
      <c r="F3" s="14">
        <v>3290</v>
      </c>
      <c r="G3" s="15">
        <v>350.18</v>
      </c>
      <c r="H3" s="16">
        <v>45987</v>
      </c>
      <c r="I3" s="16">
        <v>46378</v>
      </c>
      <c r="J3" s="16">
        <v>46560</v>
      </c>
      <c r="K3" s="14" t="s">
        <v>1994</v>
      </c>
      <c r="L3" s="16">
        <f>IF(D3="Packaging","",IF(ISNUMBER(J3),J3,IF(ISNUMBER(I3),EDATE(I3,VLOOKUP(D3,Assumptions!$A$10:$B$16,2,0)),"")))</f>
        <v>46560</v>
      </c>
      <c r="M3" s="14">
        <f>IF(ISNUMBER(L3),L3-Assumptions!$B$5,"")</f>
        <v>538</v>
      </c>
      <c r="N3" s="17">
        <f t="shared" si="0"/>
        <v>0</v>
      </c>
      <c r="O3" s="14">
        <f>IF(COUNTIF(Assumptions!$A$25:$A$27,A3)&gt;0,1,0)</f>
        <v>0</v>
      </c>
      <c r="P3" s="14">
        <f>IF(COUNTIF(Assumptions!$B$25:$B$26,A3)&gt;0,1,0)</f>
        <v>0</v>
      </c>
      <c r="Q3" s="14">
        <f>IF(COUNTIF(Assumptions!$C$25:$C$25,A3)&gt;0,1,0)</f>
        <v>0</v>
      </c>
      <c r="R3" s="17">
        <f t="shared" si="1"/>
        <v>0</v>
      </c>
      <c r="S3" s="15" t="str">
        <f>IFERROR(VLOOKUP(A3,Assumptions!$A$31:$B$33,2,0),"")</f>
        <v/>
      </c>
      <c r="T3" s="15">
        <f t="shared" si="2"/>
        <v>350.18</v>
      </c>
      <c r="U3" s="15">
        <f t="shared" si="3"/>
        <v>1152092.2</v>
      </c>
      <c r="V3" s="15">
        <f t="shared" si="4"/>
        <v>1152092.2</v>
      </c>
      <c r="W3" s="15">
        <f t="shared" si="5"/>
        <v>0</v>
      </c>
    </row>
    <row r="4" spans="1:23" ht="15" customHeight="1" x14ac:dyDescent="0.2">
      <c r="A4" s="14" t="s">
        <v>1995</v>
      </c>
      <c r="B4" s="14" t="s">
        <v>1996</v>
      </c>
      <c r="C4" s="14" t="s">
        <v>1997</v>
      </c>
      <c r="D4" s="14" t="s">
        <v>45</v>
      </c>
      <c r="E4" s="14" t="s">
        <v>1988</v>
      </c>
      <c r="F4" s="14">
        <v>2481</v>
      </c>
      <c r="G4" s="15">
        <v>76.38</v>
      </c>
      <c r="H4" s="16">
        <v>45970</v>
      </c>
      <c r="I4" s="16">
        <v>46370</v>
      </c>
      <c r="J4" s="16">
        <v>46552</v>
      </c>
      <c r="K4" s="14" t="s">
        <v>1989</v>
      </c>
      <c r="L4" s="16">
        <f>IF(D4="Packaging","",IF(ISNUMBER(J4),J4,IF(ISNUMBER(I4),EDATE(I4,VLOOKUP(D4,Assumptions!$A$10:$B$16,2,0)),"")))</f>
        <v>46552</v>
      </c>
      <c r="M4" s="14">
        <f>IF(ISNUMBER(L4),L4-Assumptions!$B$5,"")</f>
        <v>530</v>
      </c>
      <c r="N4" s="17">
        <f t="shared" si="0"/>
        <v>0</v>
      </c>
      <c r="O4" s="14">
        <f>IF(COUNTIF(Assumptions!$A$25:$A$27,A4)&gt;0,1,0)</f>
        <v>0</v>
      </c>
      <c r="P4" s="14">
        <f>IF(COUNTIF(Assumptions!$B$25:$B$26,A4)&gt;0,1,0)</f>
        <v>0</v>
      </c>
      <c r="Q4" s="14">
        <f>IF(COUNTIF(Assumptions!$C$25:$C$25,A4)&gt;0,1,0)</f>
        <v>0</v>
      </c>
      <c r="R4" s="17">
        <f t="shared" si="1"/>
        <v>0</v>
      </c>
      <c r="S4" s="15" t="str">
        <f>IFERROR(VLOOKUP(A4,Assumptions!$A$31:$B$33,2,0),"")</f>
        <v/>
      </c>
      <c r="T4" s="15">
        <f t="shared" si="2"/>
        <v>76.38</v>
      </c>
      <c r="U4" s="15">
        <f t="shared" si="3"/>
        <v>189498.78</v>
      </c>
      <c r="V4" s="15">
        <f t="shared" si="4"/>
        <v>189498.78</v>
      </c>
      <c r="W4" s="15">
        <f t="shared" si="5"/>
        <v>0</v>
      </c>
    </row>
    <row r="5" spans="1:23" ht="15" customHeight="1" x14ac:dyDescent="0.2">
      <c r="A5" s="14" t="s">
        <v>1998</v>
      </c>
      <c r="B5" s="14" t="s">
        <v>1999</v>
      </c>
      <c r="C5" s="14" t="s">
        <v>2000</v>
      </c>
      <c r="D5" s="14" t="s">
        <v>45</v>
      </c>
      <c r="E5" s="14" t="s">
        <v>1988</v>
      </c>
      <c r="F5" s="14">
        <v>807</v>
      </c>
      <c r="G5" s="15">
        <v>144.13999999999999</v>
      </c>
      <c r="H5" s="16">
        <v>45966</v>
      </c>
      <c r="I5" s="16">
        <v>46353</v>
      </c>
      <c r="J5" s="16"/>
      <c r="K5" s="14" t="s">
        <v>1989</v>
      </c>
      <c r="L5" s="16">
        <f>IF(D5="Packaging","",IF(ISNUMBER(J5),J5,IF(ISNUMBER(I5),EDATE(I5,VLOOKUP(D5,Assumptions!$A$10:$B$16,2,0)),"")))</f>
        <v>46534</v>
      </c>
      <c r="M5" s="14">
        <f>IF(ISNUMBER(L5),L5-Assumptions!$B$5,"")</f>
        <v>512</v>
      </c>
      <c r="N5" s="17">
        <f t="shared" si="0"/>
        <v>0</v>
      </c>
      <c r="O5" s="14">
        <f>IF(COUNTIF(Assumptions!$A$25:$A$27,A5)&gt;0,1,0)</f>
        <v>0</v>
      </c>
      <c r="P5" s="14">
        <f>IF(COUNTIF(Assumptions!$B$25:$B$26,A5)&gt;0,1,0)</f>
        <v>0</v>
      </c>
      <c r="Q5" s="14">
        <f>IF(COUNTIF(Assumptions!$C$25:$C$25,A5)&gt;0,1,0)</f>
        <v>0</v>
      </c>
      <c r="R5" s="17">
        <f t="shared" si="1"/>
        <v>0</v>
      </c>
      <c r="S5" s="15" t="str">
        <f>IFERROR(VLOOKUP(A5,Assumptions!$A$31:$B$33,2,0),"")</f>
        <v/>
      </c>
      <c r="T5" s="15">
        <f t="shared" si="2"/>
        <v>144.13999999999999</v>
      </c>
      <c r="U5" s="15">
        <f t="shared" si="3"/>
        <v>116320.98</v>
      </c>
      <c r="V5" s="15">
        <f t="shared" si="4"/>
        <v>116320.98</v>
      </c>
      <c r="W5" s="15">
        <f t="shared" si="5"/>
        <v>0</v>
      </c>
    </row>
    <row r="6" spans="1:23" ht="15" customHeight="1" x14ac:dyDescent="0.2">
      <c r="A6" s="14" t="s">
        <v>2001</v>
      </c>
      <c r="B6" s="14" t="s">
        <v>2002</v>
      </c>
      <c r="C6" s="14" t="s">
        <v>2003</v>
      </c>
      <c r="D6" s="14" t="s">
        <v>46</v>
      </c>
      <c r="E6" s="14" t="s">
        <v>1993</v>
      </c>
      <c r="F6" s="14">
        <v>2651</v>
      </c>
      <c r="G6" s="15">
        <v>340.53</v>
      </c>
      <c r="H6" s="16">
        <v>46014</v>
      </c>
      <c r="I6" s="16">
        <v>46067</v>
      </c>
      <c r="J6" s="16">
        <v>46340</v>
      </c>
      <c r="K6" s="14" t="s">
        <v>2004</v>
      </c>
      <c r="L6" s="16">
        <f>IF(D6="Packaging","",IF(ISNUMBER(J6),J6,IF(ISNUMBER(I6),EDATE(I6,VLOOKUP(D6,Assumptions!$A$10:$B$16,2,0)),"")))</f>
        <v>46340</v>
      </c>
      <c r="M6" s="14">
        <f>IF(ISNUMBER(L6),L6-Assumptions!$B$5,"")</f>
        <v>318</v>
      </c>
      <c r="N6" s="17">
        <f t="shared" si="0"/>
        <v>0</v>
      </c>
      <c r="O6" s="14">
        <f>IF(COUNTIF(Assumptions!$A$25:$A$27,A6)&gt;0,1,0)</f>
        <v>0</v>
      </c>
      <c r="P6" s="14">
        <f>IF(COUNTIF(Assumptions!$B$25:$B$26,A6)&gt;0,1,0)</f>
        <v>0</v>
      </c>
      <c r="Q6" s="14">
        <f>IF(COUNTIF(Assumptions!$C$25:$C$25,A6)&gt;0,1,0)</f>
        <v>0</v>
      </c>
      <c r="R6" s="17">
        <f t="shared" si="1"/>
        <v>0</v>
      </c>
      <c r="S6" s="15" t="str">
        <f>IFERROR(VLOOKUP(A6,Assumptions!$A$31:$B$33,2,0),"")</f>
        <v/>
      </c>
      <c r="T6" s="15">
        <f t="shared" si="2"/>
        <v>340.53</v>
      </c>
      <c r="U6" s="15">
        <f t="shared" si="3"/>
        <v>902745.02999999991</v>
      </c>
      <c r="V6" s="15">
        <f t="shared" si="4"/>
        <v>902745.02999999991</v>
      </c>
      <c r="W6" s="15">
        <f t="shared" si="5"/>
        <v>0</v>
      </c>
    </row>
    <row r="7" spans="1:23" ht="15" customHeight="1" x14ac:dyDescent="0.2">
      <c r="A7" s="14" t="s">
        <v>2005</v>
      </c>
      <c r="B7" s="14" t="s">
        <v>2006</v>
      </c>
      <c r="C7" s="14" t="s">
        <v>2007</v>
      </c>
      <c r="D7" s="14" t="s">
        <v>47</v>
      </c>
      <c r="E7" s="14" t="s">
        <v>1988</v>
      </c>
      <c r="F7" s="14">
        <v>838</v>
      </c>
      <c r="G7" s="15">
        <v>288.12</v>
      </c>
      <c r="H7" s="16">
        <v>46008</v>
      </c>
      <c r="I7" s="16">
        <v>45962</v>
      </c>
      <c r="J7" s="16"/>
      <c r="K7" s="14" t="s">
        <v>1989</v>
      </c>
      <c r="L7" s="16" t="str">
        <f>IF(D7="Packaging","",IF(ISNUMBER(J7),J7,IF(ISNUMBER(I7),EDATE(I7,VLOOKUP(D7,Assumptions!$A$10:$B$16,2,0)),"")))</f>
        <v/>
      </c>
      <c r="M7" s="14" t="str">
        <f>IF(ISNUMBER(L7),L7-Assumptions!$B$5,"")</f>
        <v/>
      </c>
      <c r="N7" s="17">
        <f t="shared" si="0"/>
        <v>0</v>
      </c>
      <c r="O7" s="14">
        <f>IF(COUNTIF(Assumptions!$A$25:$A$27,A7)&gt;0,1,0)</f>
        <v>0</v>
      </c>
      <c r="P7" s="14">
        <f>IF(COUNTIF(Assumptions!$B$25:$B$26,A7)&gt;0,1,0)</f>
        <v>0</v>
      </c>
      <c r="Q7" s="14">
        <f>IF(COUNTIF(Assumptions!$C$25:$C$25,A7)&gt;0,1,0)</f>
        <v>0</v>
      </c>
      <c r="R7" s="17">
        <f t="shared" si="1"/>
        <v>0</v>
      </c>
      <c r="S7" s="15" t="str">
        <f>IFERROR(VLOOKUP(A7,Assumptions!$A$31:$B$33,2,0),"")</f>
        <v/>
      </c>
      <c r="T7" s="15">
        <f t="shared" si="2"/>
        <v>288.12</v>
      </c>
      <c r="U7" s="15">
        <f t="shared" si="3"/>
        <v>241444.56</v>
      </c>
      <c r="V7" s="15">
        <f t="shared" si="4"/>
        <v>241444.56</v>
      </c>
      <c r="W7" s="15">
        <f t="shared" si="5"/>
        <v>0</v>
      </c>
    </row>
    <row r="8" spans="1:23" ht="15" customHeight="1" x14ac:dyDescent="0.2">
      <c r="A8" s="14" t="s">
        <v>2008</v>
      </c>
      <c r="B8" s="14" t="s">
        <v>2009</v>
      </c>
      <c r="C8" s="14" t="s">
        <v>2010</v>
      </c>
      <c r="D8" s="14" t="s">
        <v>46</v>
      </c>
      <c r="E8" s="14" t="s">
        <v>1993</v>
      </c>
      <c r="F8" s="14">
        <v>3204</v>
      </c>
      <c r="G8" s="15">
        <v>121.13</v>
      </c>
      <c r="H8" s="16">
        <v>46000</v>
      </c>
      <c r="I8" s="16">
        <v>45974</v>
      </c>
      <c r="J8" s="16">
        <v>46247</v>
      </c>
      <c r="K8" s="14" t="s">
        <v>1994</v>
      </c>
      <c r="L8" s="16">
        <f>IF(D8="Packaging","",IF(ISNUMBER(J8),J8,IF(ISNUMBER(I8),EDATE(I8,VLOOKUP(D8,Assumptions!$A$10:$B$16,2,0)),"")))</f>
        <v>46247</v>
      </c>
      <c r="M8" s="14">
        <f>IF(ISNUMBER(L8),L8-Assumptions!$B$5,"")</f>
        <v>225</v>
      </c>
      <c r="N8" s="17">
        <f t="shared" si="0"/>
        <v>0</v>
      </c>
      <c r="O8" s="14">
        <f>IF(COUNTIF(Assumptions!$A$25:$A$27,A8)&gt;0,1,0)</f>
        <v>0</v>
      </c>
      <c r="P8" s="14">
        <f>IF(COUNTIF(Assumptions!$B$25:$B$26,A8)&gt;0,1,0)</f>
        <v>0</v>
      </c>
      <c r="Q8" s="14">
        <f>IF(COUNTIF(Assumptions!$C$25:$C$25,A8)&gt;0,1,0)</f>
        <v>0</v>
      </c>
      <c r="R8" s="17">
        <f t="shared" si="1"/>
        <v>0</v>
      </c>
      <c r="S8" s="15" t="str">
        <f>IFERROR(VLOOKUP(A8,Assumptions!$A$31:$B$33,2,0),"")</f>
        <v/>
      </c>
      <c r="T8" s="15">
        <f t="shared" si="2"/>
        <v>121.13</v>
      </c>
      <c r="U8" s="15">
        <f t="shared" si="3"/>
        <v>388100.51999999996</v>
      </c>
      <c r="V8" s="15">
        <f t="shared" si="4"/>
        <v>388100.51999999996</v>
      </c>
      <c r="W8" s="15">
        <f t="shared" si="5"/>
        <v>0</v>
      </c>
    </row>
    <row r="9" spans="1:23" ht="15" customHeight="1" x14ac:dyDescent="0.2">
      <c r="A9" s="14" t="s">
        <v>2011</v>
      </c>
      <c r="B9" s="14" t="s">
        <v>2012</v>
      </c>
      <c r="C9" s="14" t="s">
        <v>1997</v>
      </c>
      <c r="D9" s="14" t="s">
        <v>45</v>
      </c>
      <c r="E9" s="14" t="s">
        <v>1993</v>
      </c>
      <c r="F9" s="14">
        <v>3448</v>
      </c>
      <c r="G9" s="15">
        <v>121.37</v>
      </c>
      <c r="H9" s="16">
        <v>45964</v>
      </c>
      <c r="I9" s="16">
        <v>45878</v>
      </c>
      <c r="J9" s="16">
        <v>46062</v>
      </c>
      <c r="K9" s="14" t="s">
        <v>1994</v>
      </c>
      <c r="L9" s="16">
        <f>IF(D9="Packaging","",IF(ISNUMBER(J9),J9,IF(ISNUMBER(I9),EDATE(I9,VLOOKUP(D9,Assumptions!$A$10:$B$16,2,0)),"")))</f>
        <v>46062</v>
      </c>
      <c r="M9" s="14">
        <f>IF(ISNUMBER(L9),L9-Assumptions!$B$5,"")</f>
        <v>40</v>
      </c>
      <c r="N9" s="17">
        <f t="shared" si="0"/>
        <v>0.5</v>
      </c>
      <c r="O9" s="14">
        <f>IF(COUNTIF(Assumptions!$A$25:$A$27,A9)&gt;0,1,0)</f>
        <v>0</v>
      </c>
      <c r="P9" s="14">
        <f>IF(COUNTIF(Assumptions!$B$25:$B$26,A9)&gt;0,1,0)</f>
        <v>0</v>
      </c>
      <c r="Q9" s="14">
        <f>IF(COUNTIF(Assumptions!$C$25:$C$25,A9)&gt;0,1,0)</f>
        <v>0</v>
      </c>
      <c r="R9" s="17">
        <f t="shared" si="1"/>
        <v>0.5</v>
      </c>
      <c r="S9" s="15" t="str">
        <f>IFERROR(VLOOKUP(A9,Assumptions!$A$31:$B$33,2,0),"")</f>
        <v/>
      </c>
      <c r="T9" s="15">
        <f t="shared" si="2"/>
        <v>121.37</v>
      </c>
      <c r="U9" s="15">
        <f t="shared" si="3"/>
        <v>418483.76</v>
      </c>
      <c r="V9" s="15">
        <f t="shared" si="4"/>
        <v>209241.88</v>
      </c>
      <c r="W9" s="15">
        <f t="shared" si="5"/>
        <v>209241.88</v>
      </c>
    </row>
    <row r="10" spans="1:23" ht="15" customHeight="1" x14ac:dyDescent="0.2">
      <c r="A10" s="14" t="s">
        <v>74</v>
      </c>
      <c r="B10" s="14" t="s">
        <v>73</v>
      </c>
      <c r="C10" s="14" t="s">
        <v>2013</v>
      </c>
      <c r="D10" s="14" t="s">
        <v>44</v>
      </c>
      <c r="E10" s="14" t="s">
        <v>2014</v>
      </c>
      <c r="F10" s="14">
        <v>2237</v>
      </c>
      <c r="G10" s="15">
        <v>33.1</v>
      </c>
      <c r="H10" s="16">
        <v>45787</v>
      </c>
      <c r="I10" s="16">
        <v>45767</v>
      </c>
      <c r="J10" s="16"/>
      <c r="K10" s="14" t="s">
        <v>2015</v>
      </c>
      <c r="L10" s="16">
        <f>IF(D10="Packaging","",IF(ISNUMBER(J10),J10,IF(ISNUMBER(I10),EDATE(I10,VLOOKUP(D10,Assumptions!$A$10:$B$16,2,0)),"")))</f>
        <v>46315</v>
      </c>
      <c r="M10" s="14">
        <f>IF(ISNUMBER(L10),L10-Assumptions!$B$5,"")</f>
        <v>293</v>
      </c>
      <c r="N10" s="17">
        <f t="shared" si="0"/>
        <v>0</v>
      </c>
      <c r="O10" s="14">
        <f>IF(COUNTIF(Assumptions!$A$25:$A$27,A10)&gt;0,1,0)</f>
        <v>0</v>
      </c>
      <c r="P10" s="14">
        <f>IF(COUNTIF(Assumptions!$B$25:$B$26,A10)&gt;0,1,0)</f>
        <v>0</v>
      </c>
      <c r="Q10" s="14">
        <f>IF(COUNTIF(Assumptions!$C$25:$C$25,A10)&gt;0,1,0)</f>
        <v>0</v>
      </c>
      <c r="R10" s="17">
        <f t="shared" si="1"/>
        <v>0</v>
      </c>
      <c r="S10" s="15" t="str">
        <f>IFERROR(VLOOKUP(A10,Assumptions!$A$31:$B$33,2,0),"")</f>
        <v/>
      </c>
      <c r="T10" s="15">
        <f t="shared" si="2"/>
        <v>33.1</v>
      </c>
      <c r="U10" s="15">
        <f t="shared" si="3"/>
        <v>74044.7</v>
      </c>
      <c r="V10" s="15">
        <f t="shared" si="4"/>
        <v>74044.7</v>
      </c>
      <c r="W10" s="15">
        <f t="shared" si="5"/>
        <v>0</v>
      </c>
    </row>
    <row r="11" spans="1:23" ht="15" customHeight="1" x14ac:dyDescent="0.2">
      <c r="A11" s="14" t="s">
        <v>2016</v>
      </c>
      <c r="B11" s="14" t="s">
        <v>2017</v>
      </c>
      <c r="C11" s="14" t="s">
        <v>2018</v>
      </c>
      <c r="D11" s="14" t="s">
        <v>36</v>
      </c>
      <c r="E11" s="14" t="s">
        <v>1988</v>
      </c>
      <c r="F11" s="14">
        <v>158</v>
      </c>
      <c r="G11" s="15">
        <v>15.07</v>
      </c>
      <c r="H11" s="16">
        <v>45437</v>
      </c>
      <c r="I11" s="16">
        <v>45421</v>
      </c>
      <c r="J11" s="16">
        <v>46151</v>
      </c>
      <c r="K11" s="14" t="s">
        <v>2004</v>
      </c>
      <c r="L11" s="16">
        <f>IF(D11="Packaging","",IF(ISNUMBER(J11),J11,IF(ISNUMBER(I11),EDATE(I11,VLOOKUP(D11,Assumptions!$A$10:$B$16,2,0)),"")))</f>
        <v>46151</v>
      </c>
      <c r="M11" s="14">
        <f>IF(ISNUMBER(L11),L11-Assumptions!$B$5,"")</f>
        <v>129</v>
      </c>
      <c r="N11" s="17">
        <f t="shared" si="0"/>
        <v>0.25</v>
      </c>
      <c r="O11" s="14">
        <f>IF(COUNTIF(Assumptions!$A$25:$A$27,A11)&gt;0,1,0)</f>
        <v>0</v>
      </c>
      <c r="P11" s="14">
        <f>IF(COUNTIF(Assumptions!$B$25:$B$26,A11)&gt;0,1,0)</f>
        <v>0</v>
      </c>
      <c r="Q11" s="14">
        <f>IF(COUNTIF(Assumptions!$C$25:$C$25,A11)&gt;0,1,0)</f>
        <v>0</v>
      </c>
      <c r="R11" s="17">
        <f t="shared" si="1"/>
        <v>0.25</v>
      </c>
      <c r="S11" s="15" t="str">
        <f>IFERROR(VLOOKUP(A11,Assumptions!$A$31:$B$33,2,0),"")</f>
        <v/>
      </c>
      <c r="T11" s="15">
        <f t="shared" si="2"/>
        <v>15.07</v>
      </c>
      <c r="U11" s="15">
        <f t="shared" si="3"/>
        <v>2381.06</v>
      </c>
      <c r="V11" s="15">
        <f t="shared" si="4"/>
        <v>1785.7950000000001</v>
      </c>
      <c r="W11" s="15">
        <f t="shared" si="5"/>
        <v>595.26499999999987</v>
      </c>
    </row>
    <row r="12" spans="1:23" ht="15" customHeight="1" x14ac:dyDescent="0.2">
      <c r="A12" s="14" t="s">
        <v>2019</v>
      </c>
      <c r="B12" s="14" t="s">
        <v>2020</v>
      </c>
      <c r="C12" s="14" t="s">
        <v>2010</v>
      </c>
      <c r="D12" s="14" t="s">
        <v>46</v>
      </c>
      <c r="E12" s="14" t="s">
        <v>1993</v>
      </c>
      <c r="F12" s="14">
        <v>3598</v>
      </c>
      <c r="G12" s="15">
        <v>105.41</v>
      </c>
      <c r="H12" s="16">
        <v>45962</v>
      </c>
      <c r="I12" s="16">
        <v>46034</v>
      </c>
      <c r="J12" s="16">
        <v>46307</v>
      </c>
      <c r="K12" s="14" t="s">
        <v>2015</v>
      </c>
      <c r="L12" s="16">
        <f>IF(D12="Packaging","",IF(ISNUMBER(J12),J12,IF(ISNUMBER(I12),EDATE(I12,VLOOKUP(D12,Assumptions!$A$10:$B$16,2,0)),"")))</f>
        <v>46307</v>
      </c>
      <c r="M12" s="14">
        <f>IF(ISNUMBER(L12),L12-Assumptions!$B$5,"")</f>
        <v>285</v>
      </c>
      <c r="N12" s="17">
        <f t="shared" si="0"/>
        <v>0</v>
      </c>
      <c r="O12" s="14">
        <f>IF(COUNTIF(Assumptions!$A$25:$A$27,A12)&gt;0,1,0)</f>
        <v>0</v>
      </c>
      <c r="P12" s="14">
        <f>IF(COUNTIF(Assumptions!$B$25:$B$26,A12)&gt;0,1,0)</f>
        <v>0</v>
      </c>
      <c r="Q12" s="14">
        <f>IF(COUNTIF(Assumptions!$C$25:$C$25,A12)&gt;0,1,0)</f>
        <v>0</v>
      </c>
      <c r="R12" s="17">
        <f t="shared" si="1"/>
        <v>0</v>
      </c>
      <c r="S12" s="15" t="str">
        <f>IFERROR(VLOOKUP(A12,Assumptions!$A$31:$B$33,2,0),"")</f>
        <v/>
      </c>
      <c r="T12" s="15">
        <f t="shared" si="2"/>
        <v>105.41</v>
      </c>
      <c r="U12" s="15">
        <f t="shared" si="3"/>
        <v>379265.18</v>
      </c>
      <c r="V12" s="15">
        <f t="shared" si="4"/>
        <v>379265.18</v>
      </c>
      <c r="W12" s="15">
        <f t="shared" si="5"/>
        <v>0</v>
      </c>
    </row>
    <row r="13" spans="1:23" ht="15" customHeight="1" x14ac:dyDescent="0.2">
      <c r="A13" s="14" t="s">
        <v>101</v>
      </c>
      <c r="B13" s="14" t="s">
        <v>100</v>
      </c>
      <c r="C13" s="14" t="s">
        <v>2013</v>
      </c>
      <c r="D13" s="14" t="s">
        <v>44</v>
      </c>
      <c r="E13" s="14" t="s">
        <v>1988</v>
      </c>
      <c r="F13" s="14">
        <v>3073</v>
      </c>
      <c r="G13" s="15">
        <v>303.72000000000003</v>
      </c>
      <c r="H13" s="16">
        <v>45850</v>
      </c>
      <c r="I13" s="16">
        <v>45767</v>
      </c>
      <c r="J13" s="16">
        <v>46315</v>
      </c>
      <c r="K13" s="14" t="s">
        <v>2021</v>
      </c>
      <c r="L13" s="16">
        <f>IF(D13="Packaging","",IF(ISNUMBER(J13),J13,IF(ISNUMBER(I13),EDATE(I13,VLOOKUP(D13,Assumptions!$A$10:$B$16,2,0)),"")))</f>
        <v>46315</v>
      </c>
      <c r="M13" s="14">
        <f>IF(ISNUMBER(L13),L13-Assumptions!$B$5,"")</f>
        <v>293</v>
      </c>
      <c r="N13" s="17">
        <f t="shared" si="0"/>
        <v>0</v>
      </c>
      <c r="O13" s="14">
        <f>IF(COUNTIF(Assumptions!$A$25:$A$27,A13)&gt;0,1,0)</f>
        <v>0</v>
      </c>
      <c r="P13" s="14">
        <f>IF(COUNTIF(Assumptions!$B$25:$B$26,A13)&gt;0,1,0)</f>
        <v>0</v>
      </c>
      <c r="Q13" s="14">
        <f>IF(COUNTIF(Assumptions!$C$25:$C$25,A13)&gt;0,1,0)</f>
        <v>0</v>
      </c>
      <c r="R13" s="17">
        <f t="shared" si="1"/>
        <v>0</v>
      </c>
      <c r="S13" s="15" t="str">
        <f>IFERROR(VLOOKUP(A13,Assumptions!$A$31:$B$33,2,0),"")</f>
        <v/>
      </c>
      <c r="T13" s="15">
        <f t="shared" si="2"/>
        <v>303.72000000000003</v>
      </c>
      <c r="U13" s="15">
        <f t="shared" si="3"/>
        <v>933331.56</v>
      </c>
      <c r="V13" s="15">
        <f t="shared" si="4"/>
        <v>933331.56</v>
      </c>
      <c r="W13" s="15">
        <f t="shared" si="5"/>
        <v>0</v>
      </c>
    </row>
    <row r="14" spans="1:23" ht="15" customHeight="1" x14ac:dyDescent="0.2">
      <c r="A14" s="14" t="s">
        <v>84</v>
      </c>
      <c r="B14" s="14" t="s">
        <v>83</v>
      </c>
      <c r="C14" s="14" t="s">
        <v>2022</v>
      </c>
      <c r="D14" s="14" t="s">
        <v>39</v>
      </c>
      <c r="E14" s="14" t="s">
        <v>1988</v>
      </c>
      <c r="F14" s="14">
        <v>3737</v>
      </c>
      <c r="G14" s="15">
        <v>354.17</v>
      </c>
      <c r="H14" s="16">
        <v>45380</v>
      </c>
      <c r="I14" s="16">
        <v>45360</v>
      </c>
      <c r="J14" s="16"/>
      <c r="K14" s="14" t="s">
        <v>2015</v>
      </c>
      <c r="L14" s="16">
        <f>IF(D14="Packaging","",IF(ISNUMBER(J14),J14,IF(ISNUMBER(I14),EDATE(I14,VLOOKUP(D14,Assumptions!$A$10:$B$16,2,0)),"")))</f>
        <v>46455</v>
      </c>
      <c r="M14" s="14">
        <f>IF(ISNUMBER(L14),L14-Assumptions!$B$5,"")</f>
        <v>433</v>
      </c>
      <c r="N14" s="17">
        <f t="shared" si="0"/>
        <v>0</v>
      </c>
      <c r="O14" s="14">
        <f>IF(COUNTIF(Assumptions!$A$25:$A$27,A14)&gt;0,1,0)</f>
        <v>0</v>
      </c>
      <c r="P14" s="14">
        <f>IF(COUNTIF(Assumptions!$B$25:$B$26,A14)&gt;0,1,0)</f>
        <v>0</v>
      </c>
      <c r="Q14" s="14">
        <f>IF(COUNTIF(Assumptions!$C$25:$C$25,A14)&gt;0,1,0)</f>
        <v>0</v>
      </c>
      <c r="R14" s="17">
        <f t="shared" si="1"/>
        <v>0</v>
      </c>
      <c r="S14" s="15" t="str">
        <f>IFERROR(VLOOKUP(A14,Assumptions!$A$31:$B$33,2,0),"")</f>
        <v/>
      </c>
      <c r="T14" s="15">
        <f t="shared" si="2"/>
        <v>354.17</v>
      </c>
      <c r="U14" s="15">
        <f t="shared" si="3"/>
        <v>1323533.29</v>
      </c>
      <c r="V14" s="15">
        <f t="shared" si="4"/>
        <v>1323533.29</v>
      </c>
      <c r="W14" s="15">
        <f t="shared" si="5"/>
        <v>0</v>
      </c>
    </row>
    <row r="15" spans="1:23" ht="15" customHeight="1" x14ac:dyDescent="0.2">
      <c r="A15" s="14" t="s">
        <v>2023</v>
      </c>
      <c r="B15" s="14" t="s">
        <v>2024</v>
      </c>
      <c r="C15" s="14" t="s">
        <v>2000</v>
      </c>
      <c r="D15" s="14" t="s">
        <v>45</v>
      </c>
      <c r="E15" s="14" t="s">
        <v>2014</v>
      </c>
      <c r="F15" s="14">
        <v>1802</v>
      </c>
      <c r="G15" s="15">
        <v>56.19</v>
      </c>
      <c r="H15" s="16">
        <v>46009</v>
      </c>
      <c r="I15" s="16">
        <v>46509</v>
      </c>
      <c r="J15" s="16"/>
      <c r="K15" s="14" t="s">
        <v>2021</v>
      </c>
      <c r="L15" s="16">
        <f>IF(D15="Packaging","",IF(ISNUMBER(J15),J15,IF(ISNUMBER(I15),EDATE(I15,VLOOKUP(D15,Assumptions!$A$10:$B$16,2,0)),"")))</f>
        <v>46693</v>
      </c>
      <c r="M15" s="14">
        <f>IF(ISNUMBER(L15),L15-Assumptions!$B$5,"")</f>
        <v>671</v>
      </c>
      <c r="N15" s="17">
        <f t="shared" si="0"/>
        <v>0</v>
      </c>
      <c r="O15" s="14">
        <f>IF(COUNTIF(Assumptions!$A$25:$A$27,A15)&gt;0,1,0)</f>
        <v>0</v>
      </c>
      <c r="P15" s="14">
        <f>IF(COUNTIF(Assumptions!$B$25:$B$26,A15)&gt;0,1,0)</f>
        <v>0</v>
      </c>
      <c r="Q15" s="14">
        <f>IF(COUNTIF(Assumptions!$C$25:$C$25,A15)&gt;0,1,0)</f>
        <v>0</v>
      </c>
      <c r="R15" s="17">
        <f t="shared" si="1"/>
        <v>0</v>
      </c>
      <c r="S15" s="15" t="str">
        <f>IFERROR(VLOOKUP(A15,Assumptions!$A$31:$B$33,2,0),"")</f>
        <v/>
      </c>
      <c r="T15" s="15">
        <f t="shared" si="2"/>
        <v>56.19</v>
      </c>
      <c r="U15" s="15">
        <f t="shared" si="3"/>
        <v>101254.37999999999</v>
      </c>
      <c r="V15" s="15">
        <f t="shared" si="4"/>
        <v>101254.37999999999</v>
      </c>
      <c r="W15" s="15">
        <f t="shared" si="5"/>
        <v>0</v>
      </c>
    </row>
    <row r="16" spans="1:23" ht="15" customHeight="1" x14ac:dyDescent="0.2">
      <c r="A16" s="14" t="s">
        <v>2025</v>
      </c>
      <c r="B16" s="14" t="s">
        <v>2026</v>
      </c>
      <c r="C16" s="14" t="s">
        <v>2027</v>
      </c>
      <c r="D16" s="14" t="s">
        <v>44</v>
      </c>
      <c r="E16" s="14" t="s">
        <v>1988</v>
      </c>
      <c r="F16" s="14">
        <v>1543</v>
      </c>
      <c r="G16" s="15">
        <v>129.97</v>
      </c>
      <c r="H16" s="16">
        <v>45977</v>
      </c>
      <c r="I16" s="16">
        <v>46290</v>
      </c>
      <c r="J16" s="16"/>
      <c r="K16" s="14" t="s">
        <v>2021</v>
      </c>
      <c r="L16" s="16">
        <f>IF(D16="Packaging","",IF(ISNUMBER(J16),J16,IF(ISNUMBER(I16),EDATE(I16,VLOOKUP(D16,Assumptions!$A$10:$B$16,2,0)),"")))</f>
        <v>46837</v>
      </c>
      <c r="M16" s="14">
        <f>IF(ISNUMBER(L16),L16-Assumptions!$B$5,"")</f>
        <v>815</v>
      </c>
      <c r="N16" s="17">
        <f t="shared" si="0"/>
        <v>0</v>
      </c>
      <c r="O16" s="14">
        <f>IF(COUNTIF(Assumptions!$A$25:$A$27,A16)&gt;0,1,0)</f>
        <v>0</v>
      </c>
      <c r="P16" s="14">
        <f>IF(COUNTIF(Assumptions!$B$25:$B$26,A16)&gt;0,1,0)</f>
        <v>0</v>
      </c>
      <c r="Q16" s="14">
        <f>IF(COUNTIF(Assumptions!$C$25:$C$25,A16)&gt;0,1,0)</f>
        <v>0</v>
      </c>
      <c r="R16" s="17">
        <f t="shared" si="1"/>
        <v>0</v>
      </c>
      <c r="S16" s="15" t="str">
        <f>IFERROR(VLOOKUP(A16,Assumptions!$A$31:$B$33,2,0),"")</f>
        <v/>
      </c>
      <c r="T16" s="15">
        <f t="shared" si="2"/>
        <v>129.97</v>
      </c>
      <c r="U16" s="15">
        <f t="shared" si="3"/>
        <v>200543.71</v>
      </c>
      <c r="V16" s="15">
        <f t="shared" si="4"/>
        <v>200543.71</v>
      </c>
      <c r="W16" s="15">
        <f t="shared" si="5"/>
        <v>0</v>
      </c>
    </row>
    <row r="17" spans="1:23" ht="15" customHeight="1" x14ac:dyDescent="0.2">
      <c r="A17" s="14" t="s">
        <v>2028</v>
      </c>
      <c r="B17" s="14" t="s">
        <v>2029</v>
      </c>
      <c r="C17" s="14" t="s">
        <v>2027</v>
      </c>
      <c r="D17" s="14" t="s">
        <v>44</v>
      </c>
      <c r="E17" s="14" t="s">
        <v>1993</v>
      </c>
      <c r="F17" s="14">
        <v>1219</v>
      </c>
      <c r="G17" s="15">
        <v>403.26</v>
      </c>
      <c r="H17" s="16">
        <v>46012</v>
      </c>
      <c r="I17" s="16">
        <v>46005</v>
      </c>
      <c r="J17" s="16">
        <v>46552</v>
      </c>
      <c r="K17" s="14" t="s">
        <v>2030</v>
      </c>
      <c r="L17" s="16">
        <f>IF(D17="Packaging","",IF(ISNUMBER(J17),J17,IF(ISNUMBER(I17),EDATE(I17,VLOOKUP(D17,Assumptions!$A$10:$B$16,2,0)),"")))</f>
        <v>46552</v>
      </c>
      <c r="M17" s="14">
        <f>IF(ISNUMBER(L17),L17-Assumptions!$B$5,"")</f>
        <v>530</v>
      </c>
      <c r="N17" s="17">
        <f t="shared" si="0"/>
        <v>0</v>
      </c>
      <c r="O17" s="14">
        <f>IF(COUNTIF(Assumptions!$A$25:$A$27,A17)&gt;0,1,0)</f>
        <v>0</v>
      </c>
      <c r="P17" s="14">
        <f>IF(COUNTIF(Assumptions!$B$25:$B$26,A17)&gt;0,1,0)</f>
        <v>0</v>
      </c>
      <c r="Q17" s="14">
        <f>IF(COUNTIF(Assumptions!$C$25:$C$25,A17)&gt;0,1,0)</f>
        <v>0</v>
      </c>
      <c r="R17" s="17">
        <f t="shared" si="1"/>
        <v>0</v>
      </c>
      <c r="S17" s="15" t="str">
        <f>IFERROR(VLOOKUP(A17,Assumptions!$A$31:$B$33,2,0),"")</f>
        <v/>
      </c>
      <c r="T17" s="15">
        <f t="shared" si="2"/>
        <v>403.26</v>
      </c>
      <c r="U17" s="15">
        <f t="shared" si="3"/>
        <v>491573.94</v>
      </c>
      <c r="V17" s="15">
        <f t="shared" si="4"/>
        <v>491573.94</v>
      </c>
      <c r="W17" s="15">
        <f t="shared" si="5"/>
        <v>0</v>
      </c>
    </row>
    <row r="18" spans="1:23" ht="15" customHeight="1" x14ac:dyDescent="0.2">
      <c r="A18" s="14" t="s">
        <v>2031</v>
      </c>
      <c r="B18" s="14" t="s">
        <v>2032</v>
      </c>
      <c r="C18" s="14" t="s">
        <v>2033</v>
      </c>
      <c r="D18" s="14" t="s">
        <v>47</v>
      </c>
      <c r="E18" s="14" t="s">
        <v>2014</v>
      </c>
      <c r="F18" s="14">
        <v>2185</v>
      </c>
      <c r="G18" s="15">
        <v>120.8</v>
      </c>
      <c r="H18" s="16">
        <v>45736</v>
      </c>
      <c r="I18" s="16">
        <v>45686</v>
      </c>
      <c r="J18" s="16"/>
      <c r="K18" s="14" t="s">
        <v>2015</v>
      </c>
      <c r="L18" s="16" t="str">
        <f>IF(D18="Packaging","",IF(ISNUMBER(J18),J18,IF(ISNUMBER(I18),EDATE(I18,VLOOKUP(D18,Assumptions!$A$10:$B$16,2,0)),"")))</f>
        <v/>
      </c>
      <c r="M18" s="14" t="str">
        <f>IF(ISNUMBER(L18),L18-Assumptions!$B$5,"")</f>
        <v/>
      </c>
      <c r="N18" s="17">
        <f t="shared" si="0"/>
        <v>0</v>
      </c>
      <c r="O18" s="14">
        <f>IF(COUNTIF(Assumptions!$A$25:$A$27,A18)&gt;0,1,0)</f>
        <v>0</v>
      </c>
      <c r="P18" s="14">
        <f>IF(COUNTIF(Assumptions!$B$25:$B$26,A18)&gt;0,1,0)</f>
        <v>0</v>
      </c>
      <c r="Q18" s="14">
        <f>IF(COUNTIF(Assumptions!$C$25:$C$25,A18)&gt;0,1,0)</f>
        <v>0</v>
      </c>
      <c r="R18" s="17">
        <f t="shared" si="1"/>
        <v>0</v>
      </c>
      <c r="S18" s="15" t="str">
        <f>IFERROR(VLOOKUP(A18,Assumptions!$A$31:$B$33,2,0),"")</f>
        <v/>
      </c>
      <c r="T18" s="15">
        <f t="shared" si="2"/>
        <v>120.8</v>
      </c>
      <c r="U18" s="15">
        <f t="shared" si="3"/>
        <v>263948</v>
      </c>
      <c r="V18" s="15">
        <f t="shared" si="4"/>
        <v>263948</v>
      </c>
      <c r="W18" s="15">
        <f t="shared" si="5"/>
        <v>0</v>
      </c>
    </row>
    <row r="19" spans="1:23" ht="15" customHeight="1" x14ac:dyDescent="0.2">
      <c r="A19" s="14" t="s">
        <v>2034</v>
      </c>
      <c r="B19" s="14" t="s">
        <v>2035</v>
      </c>
      <c r="C19" s="14" t="s">
        <v>2036</v>
      </c>
      <c r="D19" s="14" t="s">
        <v>45</v>
      </c>
      <c r="E19" s="14" t="s">
        <v>2037</v>
      </c>
      <c r="F19" s="14">
        <v>2708</v>
      </c>
      <c r="G19" s="15">
        <v>289.22000000000003</v>
      </c>
      <c r="H19" s="16">
        <v>46006</v>
      </c>
      <c r="I19" s="16">
        <v>46574</v>
      </c>
      <c r="J19" s="16"/>
      <c r="K19" s="14" t="s">
        <v>2030</v>
      </c>
      <c r="L19" s="16">
        <f>IF(D19="Packaging","",IF(ISNUMBER(J19),J19,IF(ISNUMBER(I19),EDATE(I19,VLOOKUP(D19,Assumptions!$A$10:$B$16,2,0)),"")))</f>
        <v>46758</v>
      </c>
      <c r="M19" s="14">
        <f>IF(ISNUMBER(L19),L19-Assumptions!$B$5,"")</f>
        <v>736</v>
      </c>
      <c r="N19" s="17">
        <f t="shared" si="0"/>
        <v>0</v>
      </c>
      <c r="O19" s="14">
        <f>IF(COUNTIF(Assumptions!$A$25:$A$27,A19)&gt;0,1,0)</f>
        <v>0</v>
      </c>
      <c r="P19" s="14">
        <f>IF(COUNTIF(Assumptions!$B$25:$B$26,A19)&gt;0,1,0)</f>
        <v>0</v>
      </c>
      <c r="Q19" s="14">
        <f>IF(COUNTIF(Assumptions!$C$25:$C$25,A19)&gt;0,1,0)</f>
        <v>0</v>
      </c>
      <c r="R19" s="17">
        <f t="shared" si="1"/>
        <v>0</v>
      </c>
      <c r="S19" s="15" t="str">
        <f>IFERROR(VLOOKUP(A19,Assumptions!$A$31:$B$33,2,0),"")</f>
        <v/>
      </c>
      <c r="T19" s="15">
        <f t="shared" si="2"/>
        <v>289.22000000000003</v>
      </c>
      <c r="U19" s="15">
        <f t="shared" si="3"/>
        <v>783207.76000000013</v>
      </c>
      <c r="V19" s="15">
        <f t="shared" si="4"/>
        <v>783207.76000000013</v>
      </c>
      <c r="W19" s="15">
        <f t="shared" si="5"/>
        <v>0</v>
      </c>
    </row>
    <row r="20" spans="1:23" ht="15" customHeight="1" x14ac:dyDescent="0.2">
      <c r="A20" s="14" t="s">
        <v>2038</v>
      </c>
      <c r="B20" s="14" t="s">
        <v>2039</v>
      </c>
      <c r="C20" s="14" t="s">
        <v>2013</v>
      </c>
      <c r="D20" s="14" t="s">
        <v>44</v>
      </c>
      <c r="E20" s="14" t="s">
        <v>2014</v>
      </c>
      <c r="F20" s="14">
        <v>2393</v>
      </c>
      <c r="G20" s="15">
        <v>207.22</v>
      </c>
      <c r="H20" s="16">
        <v>45993</v>
      </c>
      <c r="I20" s="16">
        <v>46064</v>
      </c>
      <c r="J20" s="16">
        <v>46610</v>
      </c>
      <c r="K20" s="14" t="s">
        <v>2004</v>
      </c>
      <c r="L20" s="16">
        <f>IF(D20="Packaging","",IF(ISNUMBER(J20),J20,IF(ISNUMBER(I20),EDATE(I20,VLOOKUP(D20,Assumptions!$A$10:$B$16,2,0)),"")))</f>
        <v>46610</v>
      </c>
      <c r="M20" s="14">
        <f>IF(ISNUMBER(L20),L20-Assumptions!$B$5,"")</f>
        <v>588</v>
      </c>
      <c r="N20" s="17">
        <f t="shared" si="0"/>
        <v>0</v>
      </c>
      <c r="O20" s="14">
        <f>IF(COUNTIF(Assumptions!$A$25:$A$27,A20)&gt;0,1,0)</f>
        <v>0</v>
      </c>
      <c r="P20" s="14">
        <f>IF(COUNTIF(Assumptions!$B$25:$B$26,A20)&gt;0,1,0)</f>
        <v>0</v>
      </c>
      <c r="Q20" s="14">
        <f>IF(COUNTIF(Assumptions!$C$25:$C$25,A20)&gt;0,1,0)</f>
        <v>0</v>
      </c>
      <c r="R20" s="17">
        <f t="shared" si="1"/>
        <v>0</v>
      </c>
      <c r="S20" s="15" t="str">
        <f>IFERROR(VLOOKUP(A20,Assumptions!$A$31:$B$33,2,0),"")</f>
        <v/>
      </c>
      <c r="T20" s="15">
        <f t="shared" si="2"/>
        <v>207.22</v>
      </c>
      <c r="U20" s="15">
        <f t="shared" si="3"/>
        <v>495877.46</v>
      </c>
      <c r="V20" s="15">
        <f t="shared" si="4"/>
        <v>495877.46</v>
      </c>
      <c r="W20" s="15">
        <f t="shared" si="5"/>
        <v>0</v>
      </c>
    </row>
    <row r="21" spans="1:23" ht="15" customHeight="1" x14ac:dyDescent="0.2">
      <c r="A21" s="14" t="s">
        <v>2040</v>
      </c>
      <c r="B21" s="14" t="s">
        <v>2041</v>
      </c>
      <c r="C21" s="14" t="s">
        <v>2042</v>
      </c>
      <c r="D21" s="14" t="s">
        <v>47</v>
      </c>
      <c r="E21" s="14" t="s">
        <v>1988</v>
      </c>
      <c r="F21" s="14">
        <v>624</v>
      </c>
      <c r="G21" s="15">
        <v>358.95</v>
      </c>
      <c r="H21" s="16">
        <v>46009</v>
      </c>
      <c r="I21" s="16">
        <v>45938</v>
      </c>
      <c r="J21" s="16"/>
      <c r="K21" s="14" t="s">
        <v>2004</v>
      </c>
      <c r="L21" s="16" t="str">
        <f>IF(D21="Packaging","",IF(ISNUMBER(J21),J21,IF(ISNUMBER(I21),EDATE(I21,VLOOKUP(D21,Assumptions!$A$10:$B$16,2,0)),"")))</f>
        <v/>
      </c>
      <c r="M21" s="14" t="str">
        <f>IF(ISNUMBER(L21),L21-Assumptions!$B$5,"")</f>
        <v/>
      </c>
      <c r="N21" s="17">
        <f t="shared" si="0"/>
        <v>0</v>
      </c>
      <c r="O21" s="14">
        <f>IF(COUNTIF(Assumptions!$A$25:$A$27,A21)&gt;0,1,0)</f>
        <v>0</v>
      </c>
      <c r="P21" s="14">
        <f>IF(COUNTIF(Assumptions!$B$25:$B$26,A21)&gt;0,1,0)</f>
        <v>0</v>
      </c>
      <c r="Q21" s="14">
        <f>IF(COUNTIF(Assumptions!$C$25:$C$25,A21)&gt;0,1,0)</f>
        <v>0</v>
      </c>
      <c r="R21" s="17">
        <f t="shared" si="1"/>
        <v>0</v>
      </c>
      <c r="S21" s="15" t="str">
        <f>IFERROR(VLOOKUP(A21,Assumptions!$A$31:$B$33,2,0),"")</f>
        <v/>
      </c>
      <c r="T21" s="15">
        <f t="shared" si="2"/>
        <v>358.95</v>
      </c>
      <c r="U21" s="15">
        <f t="shared" si="3"/>
        <v>223984.8</v>
      </c>
      <c r="V21" s="15">
        <f t="shared" si="4"/>
        <v>223984.8</v>
      </c>
      <c r="W21" s="15">
        <f t="shared" si="5"/>
        <v>0</v>
      </c>
    </row>
    <row r="22" spans="1:23" ht="15" customHeight="1" x14ac:dyDescent="0.2">
      <c r="A22" s="14" t="s">
        <v>87</v>
      </c>
      <c r="B22" s="14" t="s">
        <v>86</v>
      </c>
      <c r="C22" s="14" t="s">
        <v>2043</v>
      </c>
      <c r="D22" s="14" t="s">
        <v>39</v>
      </c>
      <c r="E22" s="14" t="s">
        <v>2014</v>
      </c>
      <c r="F22" s="14">
        <v>1200</v>
      </c>
      <c r="G22" s="15">
        <v>165.42</v>
      </c>
      <c r="H22" s="16">
        <v>45404</v>
      </c>
      <c r="I22" s="16">
        <v>45379</v>
      </c>
      <c r="J22" s="16"/>
      <c r="K22" s="14" t="s">
        <v>2004</v>
      </c>
      <c r="L22" s="16">
        <f>IF(D22="Packaging","",IF(ISNUMBER(J22),J22,IF(ISNUMBER(I22),EDATE(I22,VLOOKUP(D22,Assumptions!$A$10:$B$16,2,0)),"")))</f>
        <v>46474</v>
      </c>
      <c r="M22" s="14">
        <f>IF(ISNUMBER(L22),L22-Assumptions!$B$5,"")</f>
        <v>452</v>
      </c>
      <c r="N22" s="17">
        <f t="shared" si="0"/>
        <v>0</v>
      </c>
      <c r="O22" s="14">
        <f>IF(COUNTIF(Assumptions!$A$25:$A$27,A22)&gt;0,1,0)</f>
        <v>0</v>
      </c>
      <c r="P22" s="14">
        <f>IF(COUNTIF(Assumptions!$B$25:$B$26,A22)&gt;0,1,0)</f>
        <v>0</v>
      </c>
      <c r="Q22" s="14">
        <f>IF(COUNTIF(Assumptions!$C$25:$C$25,A22)&gt;0,1,0)</f>
        <v>0</v>
      </c>
      <c r="R22" s="17">
        <f t="shared" si="1"/>
        <v>0</v>
      </c>
      <c r="S22" s="15" t="str">
        <f>IFERROR(VLOOKUP(A22,Assumptions!$A$31:$B$33,2,0),"")</f>
        <v/>
      </c>
      <c r="T22" s="15">
        <f t="shared" si="2"/>
        <v>165.42</v>
      </c>
      <c r="U22" s="15">
        <f t="shared" si="3"/>
        <v>198503.99999999997</v>
      </c>
      <c r="V22" s="15">
        <f t="shared" si="4"/>
        <v>198503.99999999997</v>
      </c>
      <c r="W22" s="15">
        <f t="shared" si="5"/>
        <v>0</v>
      </c>
    </row>
    <row r="23" spans="1:23" ht="15" customHeight="1" x14ac:dyDescent="0.2">
      <c r="A23" s="14" t="s">
        <v>2044</v>
      </c>
      <c r="B23" s="14" t="s">
        <v>2045</v>
      </c>
      <c r="C23" s="14" t="s">
        <v>2046</v>
      </c>
      <c r="D23" s="14" t="s">
        <v>42</v>
      </c>
      <c r="E23" s="14" t="s">
        <v>1993</v>
      </c>
      <c r="F23" s="14">
        <v>3295</v>
      </c>
      <c r="G23" s="15">
        <v>391.71</v>
      </c>
      <c r="H23" s="16">
        <v>45974</v>
      </c>
      <c r="I23" s="16">
        <v>46308</v>
      </c>
      <c r="J23" s="16"/>
      <c r="K23" s="14" t="s">
        <v>1994</v>
      </c>
      <c r="L23" s="16">
        <f>IF(D23="Packaging","",IF(ISNUMBER(J23),J23,IF(ISNUMBER(I23),EDATE(I23,VLOOKUP(D23,Assumptions!$A$10:$B$16,2,0)),"")))</f>
        <v>46673</v>
      </c>
      <c r="M23" s="14">
        <f>IF(ISNUMBER(L23),L23-Assumptions!$B$5,"")</f>
        <v>651</v>
      </c>
      <c r="N23" s="17">
        <f t="shared" si="0"/>
        <v>0</v>
      </c>
      <c r="O23" s="14">
        <f>IF(COUNTIF(Assumptions!$A$25:$A$27,A23)&gt;0,1,0)</f>
        <v>0</v>
      </c>
      <c r="P23" s="14">
        <f>IF(COUNTIF(Assumptions!$B$25:$B$26,A23)&gt;0,1,0)</f>
        <v>0</v>
      </c>
      <c r="Q23" s="14">
        <f>IF(COUNTIF(Assumptions!$C$25:$C$25,A23)&gt;0,1,0)</f>
        <v>0</v>
      </c>
      <c r="R23" s="17">
        <f t="shared" si="1"/>
        <v>0</v>
      </c>
      <c r="S23" s="15" t="str">
        <f>IFERROR(VLOOKUP(A23,Assumptions!$A$31:$B$33,2,0),"")</f>
        <v/>
      </c>
      <c r="T23" s="15">
        <f t="shared" si="2"/>
        <v>391.71</v>
      </c>
      <c r="U23" s="15">
        <f t="shared" si="3"/>
        <v>1290684.45</v>
      </c>
      <c r="V23" s="15">
        <f t="shared" si="4"/>
        <v>1290684.45</v>
      </c>
      <c r="W23" s="15">
        <f t="shared" si="5"/>
        <v>0</v>
      </c>
    </row>
    <row r="24" spans="1:23" ht="15" customHeight="1" x14ac:dyDescent="0.2">
      <c r="A24" s="14" t="s">
        <v>2047</v>
      </c>
      <c r="B24" s="14" t="s">
        <v>2048</v>
      </c>
      <c r="C24" s="14" t="s">
        <v>2049</v>
      </c>
      <c r="D24" s="14" t="s">
        <v>42</v>
      </c>
      <c r="E24" s="14" t="s">
        <v>1988</v>
      </c>
      <c r="F24" s="14">
        <v>2025</v>
      </c>
      <c r="G24" s="15">
        <v>402.9</v>
      </c>
      <c r="H24" s="16">
        <v>45999</v>
      </c>
      <c r="I24" s="16">
        <v>46320</v>
      </c>
      <c r="J24" s="16">
        <v>46685</v>
      </c>
      <c r="K24" s="14" t="s">
        <v>1994</v>
      </c>
      <c r="L24" s="16">
        <f>IF(D24="Packaging","",IF(ISNUMBER(J24),J24,IF(ISNUMBER(I24),EDATE(I24,VLOOKUP(D24,Assumptions!$A$10:$B$16,2,0)),"")))</f>
        <v>46685</v>
      </c>
      <c r="M24" s="14">
        <f>IF(ISNUMBER(L24),L24-Assumptions!$B$5,"")</f>
        <v>663</v>
      </c>
      <c r="N24" s="17">
        <f t="shared" si="0"/>
        <v>0</v>
      </c>
      <c r="O24" s="14">
        <f>IF(COUNTIF(Assumptions!$A$25:$A$27,A24)&gt;0,1,0)</f>
        <v>0</v>
      </c>
      <c r="P24" s="14">
        <f>IF(COUNTIF(Assumptions!$B$25:$B$26,A24)&gt;0,1,0)</f>
        <v>0</v>
      </c>
      <c r="Q24" s="14">
        <f>IF(COUNTIF(Assumptions!$C$25:$C$25,A24)&gt;0,1,0)</f>
        <v>0</v>
      </c>
      <c r="R24" s="17">
        <f t="shared" si="1"/>
        <v>0</v>
      </c>
      <c r="S24" s="15" t="str">
        <f>IFERROR(VLOOKUP(A24,Assumptions!$A$31:$B$33,2,0),"")</f>
        <v/>
      </c>
      <c r="T24" s="15">
        <f t="shared" si="2"/>
        <v>402.9</v>
      </c>
      <c r="U24" s="15">
        <f t="shared" si="3"/>
        <v>815872.5</v>
      </c>
      <c r="V24" s="15">
        <f t="shared" si="4"/>
        <v>815872.5</v>
      </c>
      <c r="W24" s="15">
        <f t="shared" si="5"/>
        <v>0</v>
      </c>
    </row>
    <row r="25" spans="1:23" ht="15" customHeight="1" x14ac:dyDescent="0.2">
      <c r="A25" s="14" t="s">
        <v>2050</v>
      </c>
      <c r="B25" s="14" t="s">
        <v>2051</v>
      </c>
      <c r="C25" s="14" t="s">
        <v>2042</v>
      </c>
      <c r="D25" s="14" t="s">
        <v>47</v>
      </c>
      <c r="E25" s="14" t="s">
        <v>2014</v>
      </c>
      <c r="F25" s="14">
        <v>2446</v>
      </c>
      <c r="G25" s="15">
        <v>121.87</v>
      </c>
      <c r="H25" s="16">
        <v>45578</v>
      </c>
      <c r="I25" s="16">
        <v>45553</v>
      </c>
      <c r="J25" s="16"/>
      <c r="K25" s="14" t="s">
        <v>2030</v>
      </c>
      <c r="L25" s="16" t="str">
        <f>IF(D25="Packaging","",IF(ISNUMBER(J25),J25,IF(ISNUMBER(I25),EDATE(I25,VLOOKUP(D25,Assumptions!$A$10:$B$16,2,0)),"")))</f>
        <v/>
      </c>
      <c r="M25" s="14" t="str">
        <f>IF(ISNUMBER(L25),L25-Assumptions!$B$5,"")</f>
        <v/>
      </c>
      <c r="N25" s="17">
        <f t="shared" si="0"/>
        <v>0</v>
      </c>
      <c r="O25" s="14">
        <f>IF(COUNTIF(Assumptions!$A$25:$A$27,A25)&gt;0,1,0)</f>
        <v>0</v>
      </c>
      <c r="P25" s="14">
        <f>IF(COUNTIF(Assumptions!$B$25:$B$26,A25)&gt;0,1,0)</f>
        <v>0</v>
      </c>
      <c r="Q25" s="14">
        <f>IF(COUNTIF(Assumptions!$C$25:$C$25,A25)&gt;0,1,0)</f>
        <v>0</v>
      </c>
      <c r="R25" s="17">
        <f t="shared" si="1"/>
        <v>0</v>
      </c>
      <c r="S25" s="15" t="str">
        <f>IFERROR(VLOOKUP(A25,Assumptions!$A$31:$B$33,2,0),"")</f>
        <v/>
      </c>
      <c r="T25" s="15">
        <f t="shared" si="2"/>
        <v>121.87</v>
      </c>
      <c r="U25" s="15">
        <f t="shared" si="3"/>
        <v>298094.02</v>
      </c>
      <c r="V25" s="15">
        <f t="shared" si="4"/>
        <v>298094.02</v>
      </c>
      <c r="W25" s="15">
        <f t="shared" si="5"/>
        <v>0</v>
      </c>
    </row>
    <row r="26" spans="1:23" ht="15" customHeight="1" x14ac:dyDescent="0.2">
      <c r="A26" s="14" t="s">
        <v>91</v>
      </c>
      <c r="B26" s="14" t="s">
        <v>90</v>
      </c>
      <c r="C26" s="14" t="s">
        <v>2022</v>
      </c>
      <c r="D26" s="14" t="s">
        <v>39</v>
      </c>
      <c r="E26" s="14" t="s">
        <v>1993</v>
      </c>
      <c r="F26" s="14">
        <v>141</v>
      </c>
      <c r="G26" s="15">
        <v>177.65</v>
      </c>
      <c r="H26" s="16">
        <v>45241</v>
      </c>
      <c r="I26" s="16">
        <v>45192</v>
      </c>
      <c r="J26" s="16"/>
      <c r="K26" s="14" t="s">
        <v>2052</v>
      </c>
      <c r="L26" s="16">
        <f>IF(D26="Packaging","",IF(ISNUMBER(J26),J26,IF(ISNUMBER(I26),EDATE(I26,VLOOKUP(D26,Assumptions!$A$10:$B$16,2,0)),"")))</f>
        <v>46288</v>
      </c>
      <c r="M26" s="14">
        <f>IF(ISNUMBER(L26),L26-Assumptions!$B$5,"")</f>
        <v>266</v>
      </c>
      <c r="N26" s="17">
        <f t="shared" si="0"/>
        <v>0</v>
      </c>
      <c r="O26" s="14">
        <f>IF(COUNTIF(Assumptions!$A$25:$A$27,A26)&gt;0,1,0)</f>
        <v>0</v>
      </c>
      <c r="P26" s="14">
        <f>IF(COUNTIF(Assumptions!$B$25:$B$26,A26)&gt;0,1,0)</f>
        <v>0</v>
      </c>
      <c r="Q26" s="14">
        <f>IF(COUNTIF(Assumptions!$C$25:$C$25,A26)&gt;0,1,0)</f>
        <v>0</v>
      </c>
      <c r="R26" s="17">
        <f t="shared" si="1"/>
        <v>0</v>
      </c>
      <c r="S26" s="15" t="str">
        <f>IFERROR(VLOOKUP(A26,Assumptions!$A$31:$B$33,2,0),"")</f>
        <v/>
      </c>
      <c r="T26" s="15">
        <f t="shared" si="2"/>
        <v>177.65</v>
      </c>
      <c r="U26" s="15">
        <f t="shared" si="3"/>
        <v>25048.65</v>
      </c>
      <c r="V26" s="15">
        <f t="shared" si="4"/>
        <v>25048.65</v>
      </c>
      <c r="W26" s="15">
        <f t="shared" si="5"/>
        <v>0</v>
      </c>
    </row>
    <row r="27" spans="1:23" ht="15" customHeight="1" x14ac:dyDescent="0.2">
      <c r="A27" s="14" t="s">
        <v>2053</v>
      </c>
      <c r="B27" s="14" t="s">
        <v>2054</v>
      </c>
      <c r="C27" s="14" t="s">
        <v>2033</v>
      </c>
      <c r="D27" s="14" t="s">
        <v>47</v>
      </c>
      <c r="E27" s="14" t="s">
        <v>2037</v>
      </c>
      <c r="F27" s="14">
        <v>430</v>
      </c>
      <c r="G27" s="15">
        <v>303.89999999999998</v>
      </c>
      <c r="H27" s="16">
        <v>45837</v>
      </c>
      <c r="I27" s="16">
        <v>45796</v>
      </c>
      <c r="J27" s="16"/>
      <c r="K27" s="14" t="s">
        <v>2004</v>
      </c>
      <c r="L27" s="16" t="str">
        <f>IF(D27="Packaging","",IF(ISNUMBER(J27),J27,IF(ISNUMBER(I27),EDATE(I27,VLOOKUP(D27,Assumptions!$A$10:$B$16,2,0)),"")))</f>
        <v/>
      </c>
      <c r="M27" s="14" t="str">
        <f>IF(ISNUMBER(L27),L27-Assumptions!$B$5,"")</f>
        <v/>
      </c>
      <c r="N27" s="17">
        <f t="shared" si="0"/>
        <v>0</v>
      </c>
      <c r="O27" s="14">
        <f>IF(COUNTIF(Assumptions!$A$25:$A$27,A27)&gt;0,1,0)</f>
        <v>0</v>
      </c>
      <c r="P27" s="14">
        <f>IF(COUNTIF(Assumptions!$B$25:$B$26,A27)&gt;0,1,0)</f>
        <v>0</v>
      </c>
      <c r="Q27" s="14">
        <f>IF(COUNTIF(Assumptions!$C$25:$C$25,A27)&gt;0,1,0)</f>
        <v>0</v>
      </c>
      <c r="R27" s="17">
        <f t="shared" si="1"/>
        <v>0</v>
      </c>
      <c r="S27" s="15" t="str">
        <f>IFERROR(VLOOKUP(A27,Assumptions!$A$31:$B$33,2,0),"")</f>
        <v/>
      </c>
      <c r="T27" s="15">
        <f t="shared" si="2"/>
        <v>303.89999999999998</v>
      </c>
      <c r="U27" s="15">
        <f t="shared" si="3"/>
        <v>130676.99999999999</v>
      </c>
      <c r="V27" s="15">
        <f t="shared" si="4"/>
        <v>130676.99999999999</v>
      </c>
      <c r="W27" s="15">
        <f t="shared" si="5"/>
        <v>0</v>
      </c>
    </row>
    <row r="28" spans="1:23" ht="15" customHeight="1" x14ac:dyDescent="0.2">
      <c r="A28" s="14" t="s">
        <v>2055</v>
      </c>
      <c r="B28" s="14" t="s">
        <v>2056</v>
      </c>
      <c r="C28" s="14" t="s">
        <v>1997</v>
      </c>
      <c r="D28" s="14" t="s">
        <v>45</v>
      </c>
      <c r="E28" s="14" t="s">
        <v>2037</v>
      </c>
      <c r="F28" s="14">
        <v>3205</v>
      </c>
      <c r="G28" s="15">
        <v>118.15</v>
      </c>
      <c r="H28" s="16">
        <v>45962</v>
      </c>
      <c r="I28" s="16">
        <v>46345</v>
      </c>
      <c r="J28" s="16"/>
      <c r="K28" s="14" t="s">
        <v>2030</v>
      </c>
      <c r="L28" s="16">
        <f>IF(D28="Packaging","",IF(ISNUMBER(J28),J28,IF(ISNUMBER(I28),EDATE(I28,VLOOKUP(D28,Assumptions!$A$10:$B$16,2,0)),"")))</f>
        <v>46526</v>
      </c>
      <c r="M28" s="14">
        <f>IF(ISNUMBER(L28),L28-Assumptions!$B$5,"")</f>
        <v>504</v>
      </c>
      <c r="N28" s="17">
        <f t="shared" si="0"/>
        <v>0</v>
      </c>
      <c r="O28" s="14">
        <f>IF(COUNTIF(Assumptions!$A$25:$A$27,A28)&gt;0,1,0)</f>
        <v>0</v>
      </c>
      <c r="P28" s="14">
        <f>IF(COUNTIF(Assumptions!$B$25:$B$26,A28)&gt;0,1,0)</f>
        <v>0</v>
      </c>
      <c r="Q28" s="14">
        <f>IF(COUNTIF(Assumptions!$C$25:$C$25,A28)&gt;0,1,0)</f>
        <v>0</v>
      </c>
      <c r="R28" s="17">
        <f t="shared" si="1"/>
        <v>0</v>
      </c>
      <c r="S28" s="15" t="str">
        <f>IFERROR(VLOOKUP(A28,Assumptions!$A$31:$B$33,2,0),"")</f>
        <v/>
      </c>
      <c r="T28" s="15">
        <f t="shared" si="2"/>
        <v>118.15</v>
      </c>
      <c r="U28" s="15">
        <f t="shared" si="3"/>
        <v>378670.75</v>
      </c>
      <c r="V28" s="15">
        <f t="shared" si="4"/>
        <v>378670.75</v>
      </c>
      <c r="W28" s="15">
        <f t="shared" si="5"/>
        <v>0</v>
      </c>
    </row>
    <row r="29" spans="1:23" ht="15" customHeight="1" x14ac:dyDescent="0.2">
      <c r="A29" s="14" t="s">
        <v>109</v>
      </c>
      <c r="B29" s="14" t="s">
        <v>108</v>
      </c>
      <c r="C29" s="14" t="s">
        <v>1435</v>
      </c>
      <c r="D29" s="14" t="s">
        <v>36</v>
      </c>
      <c r="E29" s="14" t="s">
        <v>1993</v>
      </c>
      <c r="F29" s="14">
        <v>147</v>
      </c>
      <c r="G29" s="15">
        <v>152.22999999999999</v>
      </c>
      <c r="H29" s="16">
        <v>45812</v>
      </c>
      <c r="I29" s="16">
        <v>45795</v>
      </c>
      <c r="J29" s="16"/>
      <c r="K29" s="14" t="s">
        <v>2052</v>
      </c>
      <c r="L29" s="16">
        <f>IF(D29="Packaging","",IF(ISNUMBER(J29),J29,IF(ISNUMBER(I29),EDATE(I29,VLOOKUP(D29,Assumptions!$A$10:$B$16,2,0)),"")))</f>
        <v>46525</v>
      </c>
      <c r="M29" s="14">
        <f>IF(ISNUMBER(L29),L29-Assumptions!$B$5,"")</f>
        <v>503</v>
      </c>
      <c r="N29" s="17">
        <f t="shared" si="0"/>
        <v>0</v>
      </c>
      <c r="O29" s="14">
        <f>IF(COUNTIF(Assumptions!$A$25:$A$27,A29)&gt;0,1,0)</f>
        <v>0</v>
      </c>
      <c r="P29" s="14">
        <f>IF(COUNTIF(Assumptions!$B$25:$B$26,A29)&gt;0,1,0)</f>
        <v>0</v>
      </c>
      <c r="Q29" s="14">
        <f>IF(COUNTIF(Assumptions!$C$25:$C$25,A29)&gt;0,1,0)</f>
        <v>0</v>
      </c>
      <c r="R29" s="17">
        <f t="shared" si="1"/>
        <v>0</v>
      </c>
      <c r="S29" s="15" t="str">
        <f>IFERROR(VLOOKUP(A29,Assumptions!$A$31:$B$33,2,0),"")</f>
        <v/>
      </c>
      <c r="T29" s="15">
        <f t="shared" si="2"/>
        <v>152.22999999999999</v>
      </c>
      <c r="U29" s="15">
        <f t="shared" si="3"/>
        <v>22377.809999999998</v>
      </c>
      <c r="V29" s="15">
        <f t="shared" si="4"/>
        <v>22377.809999999998</v>
      </c>
      <c r="W29" s="15">
        <f t="shared" si="5"/>
        <v>0</v>
      </c>
    </row>
    <row r="30" spans="1:23" ht="15" customHeight="1" x14ac:dyDescent="0.2">
      <c r="A30" s="14" t="s">
        <v>2057</v>
      </c>
      <c r="B30" s="14" t="s">
        <v>2058</v>
      </c>
      <c r="C30" s="14" t="s">
        <v>2049</v>
      </c>
      <c r="D30" s="14" t="s">
        <v>42</v>
      </c>
      <c r="E30" s="14" t="s">
        <v>1988</v>
      </c>
      <c r="F30" s="14">
        <v>1207</v>
      </c>
      <c r="G30" s="15">
        <v>110</v>
      </c>
      <c r="H30" s="16">
        <v>45996</v>
      </c>
      <c r="I30" s="16">
        <v>46108</v>
      </c>
      <c r="J30" s="16"/>
      <c r="K30" s="14" t="s">
        <v>1989</v>
      </c>
      <c r="L30" s="16">
        <f>IF(D30="Packaging","",IF(ISNUMBER(J30),J30,IF(ISNUMBER(I30),EDATE(I30,VLOOKUP(D30,Assumptions!$A$10:$B$16,2,0)),"")))</f>
        <v>46473</v>
      </c>
      <c r="M30" s="14">
        <f>IF(ISNUMBER(L30),L30-Assumptions!$B$5,"")</f>
        <v>451</v>
      </c>
      <c r="N30" s="17">
        <f t="shared" si="0"/>
        <v>0</v>
      </c>
      <c r="O30" s="14">
        <f>IF(COUNTIF(Assumptions!$A$25:$A$27,A30)&gt;0,1,0)</f>
        <v>0</v>
      </c>
      <c r="P30" s="14">
        <f>IF(COUNTIF(Assumptions!$B$25:$B$26,A30)&gt;0,1,0)</f>
        <v>0</v>
      </c>
      <c r="Q30" s="14">
        <f>IF(COUNTIF(Assumptions!$C$25:$C$25,A30)&gt;0,1,0)</f>
        <v>0</v>
      </c>
      <c r="R30" s="17">
        <f t="shared" si="1"/>
        <v>0</v>
      </c>
      <c r="S30" s="15" t="str">
        <f>IFERROR(VLOOKUP(A30,Assumptions!$A$31:$B$33,2,0),"")</f>
        <v/>
      </c>
      <c r="T30" s="15">
        <f t="shared" si="2"/>
        <v>110</v>
      </c>
      <c r="U30" s="15">
        <f t="shared" si="3"/>
        <v>132770</v>
      </c>
      <c r="V30" s="15">
        <f t="shared" si="4"/>
        <v>132770</v>
      </c>
      <c r="W30" s="15">
        <f t="shared" si="5"/>
        <v>0</v>
      </c>
    </row>
    <row r="31" spans="1:23" ht="15" customHeight="1" x14ac:dyDescent="0.2">
      <c r="A31" s="14" t="s">
        <v>2059</v>
      </c>
      <c r="B31" s="14" t="s">
        <v>2060</v>
      </c>
      <c r="C31" s="14" t="s">
        <v>1997</v>
      </c>
      <c r="D31" s="14" t="s">
        <v>45</v>
      </c>
      <c r="E31" s="14" t="s">
        <v>1988</v>
      </c>
      <c r="F31" s="14">
        <v>1181</v>
      </c>
      <c r="G31" s="15">
        <v>5.68</v>
      </c>
      <c r="H31" s="16">
        <v>45985</v>
      </c>
      <c r="I31" s="16">
        <v>46544</v>
      </c>
      <c r="J31" s="16">
        <v>46727</v>
      </c>
      <c r="K31" s="14" t="s">
        <v>2030</v>
      </c>
      <c r="L31" s="16">
        <f>IF(D31="Packaging","",IF(ISNUMBER(J31),J31,IF(ISNUMBER(I31),EDATE(I31,VLOOKUP(D31,Assumptions!$A$10:$B$16,2,0)),"")))</f>
        <v>46727</v>
      </c>
      <c r="M31" s="14">
        <f>IF(ISNUMBER(L31),L31-Assumptions!$B$5,"")</f>
        <v>705</v>
      </c>
      <c r="N31" s="17">
        <f t="shared" si="0"/>
        <v>0</v>
      </c>
      <c r="O31" s="14">
        <f>IF(COUNTIF(Assumptions!$A$25:$A$27,A31)&gt;0,1,0)</f>
        <v>0</v>
      </c>
      <c r="P31" s="14">
        <f>IF(COUNTIF(Assumptions!$B$25:$B$26,A31)&gt;0,1,0)</f>
        <v>0</v>
      </c>
      <c r="Q31" s="14">
        <f>IF(COUNTIF(Assumptions!$C$25:$C$25,A31)&gt;0,1,0)</f>
        <v>0</v>
      </c>
      <c r="R31" s="17">
        <f t="shared" si="1"/>
        <v>0</v>
      </c>
      <c r="S31" s="15" t="str">
        <f>IFERROR(VLOOKUP(A31,Assumptions!$A$31:$B$33,2,0),"")</f>
        <v/>
      </c>
      <c r="T31" s="15">
        <f t="shared" si="2"/>
        <v>5.68</v>
      </c>
      <c r="U31" s="15">
        <f t="shared" si="3"/>
        <v>6708.08</v>
      </c>
      <c r="V31" s="15">
        <f t="shared" si="4"/>
        <v>6708.08</v>
      </c>
      <c r="W31" s="15">
        <f t="shared" si="5"/>
        <v>0</v>
      </c>
    </row>
    <row r="32" spans="1:23" ht="15" customHeight="1" x14ac:dyDescent="0.2">
      <c r="A32" s="14" t="s">
        <v>113</v>
      </c>
      <c r="B32" s="14" t="s">
        <v>112</v>
      </c>
      <c r="C32" s="14" t="s">
        <v>2061</v>
      </c>
      <c r="D32" s="14" t="s">
        <v>44</v>
      </c>
      <c r="E32" s="14" t="s">
        <v>1988</v>
      </c>
      <c r="F32" s="14">
        <v>2293</v>
      </c>
      <c r="G32" s="15">
        <v>153.69</v>
      </c>
      <c r="H32" s="16">
        <v>45777</v>
      </c>
      <c r="I32" s="16">
        <v>45725</v>
      </c>
      <c r="J32" s="16"/>
      <c r="K32" s="14" t="s">
        <v>2052</v>
      </c>
      <c r="L32" s="16">
        <f>IF(D32="Packaging","",IF(ISNUMBER(J32),J32,IF(ISNUMBER(I32),EDATE(I32,VLOOKUP(D32,Assumptions!$A$10:$B$16,2,0)),"")))</f>
        <v>46274</v>
      </c>
      <c r="M32" s="14">
        <f>IF(ISNUMBER(L32),L32-Assumptions!$B$5,"")</f>
        <v>252</v>
      </c>
      <c r="N32" s="17">
        <f t="shared" si="0"/>
        <v>0</v>
      </c>
      <c r="O32" s="14">
        <f>IF(COUNTIF(Assumptions!$A$25:$A$27,A32)&gt;0,1,0)</f>
        <v>0</v>
      </c>
      <c r="P32" s="14">
        <f>IF(COUNTIF(Assumptions!$B$25:$B$26,A32)&gt;0,1,0)</f>
        <v>0</v>
      </c>
      <c r="Q32" s="14">
        <f>IF(COUNTIF(Assumptions!$C$25:$C$25,A32)&gt;0,1,0)</f>
        <v>0</v>
      </c>
      <c r="R32" s="17">
        <f t="shared" si="1"/>
        <v>0</v>
      </c>
      <c r="S32" s="15" t="str">
        <f>IFERROR(VLOOKUP(A32,Assumptions!$A$31:$B$33,2,0),"")</f>
        <v/>
      </c>
      <c r="T32" s="15">
        <f t="shared" si="2"/>
        <v>153.69</v>
      </c>
      <c r="U32" s="15">
        <f t="shared" si="3"/>
        <v>352411.17</v>
      </c>
      <c r="V32" s="15">
        <f t="shared" si="4"/>
        <v>352411.17</v>
      </c>
      <c r="W32" s="15">
        <f t="shared" si="5"/>
        <v>0</v>
      </c>
    </row>
    <row r="33" spans="1:23" ht="15" customHeight="1" x14ac:dyDescent="0.2">
      <c r="A33" s="14" t="s">
        <v>2062</v>
      </c>
      <c r="B33" s="14" t="s">
        <v>2063</v>
      </c>
      <c r="C33" s="14" t="s">
        <v>2042</v>
      </c>
      <c r="D33" s="14" t="s">
        <v>47</v>
      </c>
      <c r="E33" s="14" t="s">
        <v>1988</v>
      </c>
      <c r="F33" s="14">
        <v>676</v>
      </c>
      <c r="G33" s="15">
        <v>382.82</v>
      </c>
      <c r="H33" s="16">
        <v>45385</v>
      </c>
      <c r="I33" s="16">
        <v>45365</v>
      </c>
      <c r="J33" s="16"/>
      <c r="K33" s="14" t="s">
        <v>2004</v>
      </c>
      <c r="L33" s="16" t="str">
        <f>IF(D33="Packaging","",IF(ISNUMBER(J33),J33,IF(ISNUMBER(I33),EDATE(I33,VLOOKUP(D33,Assumptions!$A$10:$B$16,2,0)),"")))</f>
        <v/>
      </c>
      <c r="M33" s="14" t="str">
        <f>IF(ISNUMBER(L33),L33-Assumptions!$B$5,"")</f>
        <v/>
      </c>
      <c r="N33" s="17">
        <f t="shared" si="0"/>
        <v>0</v>
      </c>
      <c r="O33" s="14">
        <f>IF(COUNTIF(Assumptions!$A$25:$A$27,A33)&gt;0,1,0)</f>
        <v>0</v>
      </c>
      <c r="P33" s="14">
        <f>IF(COUNTIF(Assumptions!$B$25:$B$26,A33)&gt;0,1,0)</f>
        <v>0</v>
      </c>
      <c r="Q33" s="14">
        <f>IF(COUNTIF(Assumptions!$C$25:$C$25,A33)&gt;0,1,0)</f>
        <v>0</v>
      </c>
      <c r="R33" s="17">
        <f t="shared" si="1"/>
        <v>0</v>
      </c>
      <c r="S33" s="15" t="str">
        <f>IFERROR(VLOOKUP(A33,Assumptions!$A$31:$B$33,2,0),"")</f>
        <v/>
      </c>
      <c r="T33" s="15">
        <f t="shared" si="2"/>
        <v>382.82</v>
      </c>
      <c r="U33" s="15">
        <f t="shared" si="3"/>
        <v>258786.32</v>
      </c>
      <c r="V33" s="15">
        <f t="shared" si="4"/>
        <v>258786.32</v>
      </c>
      <c r="W33" s="15">
        <f t="shared" si="5"/>
        <v>0</v>
      </c>
    </row>
    <row r="34" spans="1:23" ht="15" customHeight="1" x14ac:dyDescent="0.2">
      <c r="A34" s="14" t="s">
        <v>2064</v>
      </c>
      <c r="B34" s="14" t="s">
        <v>2065</v>
      </c>
      <c r="C34" s="14" t="s">
        <v>2066</v>
      </c>
      <c r="D34" s="14" t="s">
        <v>42</v>
      </c>
      <c r="E34" s="14" t="s">
        <v>1993</v>
      </c>
      <c r="F34" s="14">
        <v>4399</v>
      </c>
      <c r="G34" s="15">
        <v>51.91</v>
      </c>
      <c r="H34" s="16">
        <v>45932</v>
      </c>
      <c r="I34" s="16">
        <v>45921</v>
      </c>
      <c r="J34" s="16"/>
      <c r="K34" s="14" t="s">
        <v>1989</v>
      </c>
      <c r="L34" s="16">
        <f>IF(D34="Packaging","",IF(ISNUMBER(J34),J34,IF(ISNUMBER(I34),EDATE(I34,VLOOKUP(D34,Assumptions!$A$10:$B$16,2,0)),"")))</f>
        <v>46286</v>
      </c>
      <c r="M34" s="14">
        <f>IF(ISNUMBER(L34),L34-Assumptions!$B$5,"")</f>
        <v>264</v>
      </c>
      <c r="N34" s="17">
        <f t="shared" si="0"/>
        <v>0</v>
      </c>
      <c r="O34" s="14">
        <f>IF(COUNTIF(Assumptions!$A$25:$A$27,A34)&gt;0,1,0)</f>
        <v>0</v>
      </c>
      <c r="P34" s="14">
        <f>IF(COUNTIF(Assumptions!$B$25:$B$26,A34)&gt;0,1,0)</f>
        <v>0</v>
      </c>
      <c r="Q34" s="14">
        <f>IF(COUNTIF(Assumptions!$C$25:$C$25,A34)&gt;0,1,0)</f>
        <v>0</v>
      </c>
      <c r="R34" s="17">
        <f t="shared" si="1"/>
        <v>0</v>
      </c>
      <c r="S34" s="15" t="str">
        <f>IFERROR(VLOOKUP(A34,Assumptions!$A$31:$B$33,2,0),"")</f>
        <v/>
      </c>
      <c r="T34" s="15">
        <f t="shared" si="2"/>
        <v>51.91</v>
      </c>
      <c r="U34" s="15">
        <f t="shared" si="3"/>
        <v>228352.09</v>
      </c>
      <c r="V34" s="15">
        <f t="shared" si="4"/>
        <v>228352.09</v>
      </c>
      <c r="W34" s="15">
        <f t="shared" si="5"/>
        <v>0</v>
      </c>
    </row>
    <row r="35" spans="1:23" ht="15" customHeight="1" x14ac:dyDescent="0.2">
      <c r="A35" s="14" t="s">
        <v>2067</v>
      </c>
      <c r="B35" s="14" t="s">
        <v>2068</v>
      </c>
      <c r="C35" s="14" t="s">
        <v>2069</v>
      </c>
      <c r="D35" s="14" t="s">
        <v>47</v>
      </c>
      <c r="E35" s="14" t="s">
        <v>2014</v>
      </c>
      <c r="F35" s="14">
        <v>3190</v>
      </c>
      <c r="G35" s="15">
        <v>77.290000000000006</v>
      </c>
      <c r="H35" s="16">
        <v>45964</v>
      </c>
      <c r="I35" s="16">
        <v>45927</v>
      </c>
      <c r="J35" s="16"/>
      <c r="K35" s="14" t="s">
        <v>2021</v>
      </c>
      <c r="L35" s="16" t="str">
        <f>IF(D35="Packaging","",IF(ISNUMBER(J35),J35,IF(ISNUMBER(I35),EDATE(I35,VLOOKUP(D35,Assumptions!$A$10:$B$16,2,0)),"")))</f>
        <v/>
      </c>
      <c r="M35" s="14" t="str">
        <f>IF(ISNUMBER(L35),L35-Assumptions!$B$5,"")</f>
        <v/>
      </c>
      <c r="N35" s="17">
        <f t="shared" si="0"/>
        <v>0</v>
      </c>
      <c r="O35" s="14">
        <f>IF(COUNTIF(Assumptions!$A$25:$A$27,A35)&gt;0,1,0)</f>
        <v>0</v>
      </c>
      <c r="P35" s="14">
        <f>IF(COUNTIF(Assumptions!$B$25:$B$26,A35)&gt;0,1,0)</f>
        <v>0</v>
      </c>
      <c r="Q35" s="14">
        <f>IF(COUNTIF(Assumptions!$C$25:$C$25,A35)&gt;0,1,0)</f>
        <v>0</v>
      </c>
      <c r="R35" s="17">
        <f t="shared" si="1"/>
        <v>0</v>
      </c>
      <c r="S35" s="15" t="str">
        <f>IFERROR(VLOOKUP(A35,Assumptions!$A$31:$B$33,2,0),"")</f>
        <v/>
      </c>
      <c r="T35" s="15">
        <f t="shared" si="2"/>
        <v>77.290000000000006</v>
      </c>
      <c r="U35" s="15">
        <f t="shared" si="3"/>
        <v>246555.1</v>
      </c>
      <c r="V35" s="15">
        <f t="shared" si="4"/>
        <v>246555.1</v>
      </c>
      <c r="W35" s="15">
        <f t="shared" si="5"/>
        <v>0</v>
      </c>
    </row>
    <row r="36" spans="1:23" ht="15" customHeight="1" x14ac:dyDescent="0.2">
      <c r="A36" s="14" t="s">
        <v>2070</v>
      </c>
      <c r="B36" s="14" t="s">
        <v>2071</v>
      </c>
      <c r="C36" s="14" t="s">
        <v>2049</v>
      </c>
      <c r="D36" s="14" t="s">
        <v>42</v>
      </c>
      <c r="E36" s="14" t="s">
        <v>2014</v>
      </c>
      <c r="F36" s="14">
        <v>2224</v>
      </c>
      <c r="G36" s="15">
        <v>112.57</v>
      </c>
      <c r="H36" s="16">
        <v>46001</v>
      </c>
      <c r="I36" s="16">
        <v>46204</v>
      </c>
      <c r="J36" s="16">
        <v>46569</v>
      </c>
      <c r="K36" s="14" t="s">
        <v>2052</v>
      </c>
      <c r="L36" s="16">
        <f>IF(D36="Packaging","",IF(ISNUMBER(J36),J36,IF(ISNUMBER(I36),EDATE(I36,VLOOKUP(D36,Assumptions!$A$10:$B$16,2,0)),"")))</f>
        <v>46569</v>
      </c>
      <c r="M36" s="14">
        <f>IF(ISNUMBER(L36),L36-Assumptions!$B$5,"")</f>
        <v>547</v>
      </c>
      <c r="N36" s="17">
        <f t="shared" si="0"/>
        <v>0</v>
      </c>
      <c r="O36" s="14">
        <f>IF(COUNTIF(Assumptions!$A$25:$A$27,A36)&gt;0,1,0)</f>
        <v>0</v>
      </c>
      <c r="P36" s="14">
        <f>IF(COUNTIF(Assumptions!$B$25:$B$26,A36)&gt;0,1,0)</f>
        <v>0</v>
      </c>
      <c r="Q36" s="14">
        <f>IF(COUNTIF(Assumptions!$C$25:$C$25,A36)&gt;0,1,0)</f>
        <v>0</v>
      </c>
      <c r="R36" s="17">
        <f t="shared" si="1"/>
        <v>0</v>
      </c>
      <c r="S36" s="15" t="str">
        <f>IFERROR(VLOOKUP(A36,Assumptions!$A$31:$B$33,2,0),"")</f>
        <v/>
      </c>
      <c r="T36" s="15">
        <f t="shared" si="2"/>
        <v>112.57</v>
      </c>
      <c r="U36" s="15">
        <f t="shared" si="3"/>
        <v>250355.68</v>
      </c>
      <c r="V36" s="15">
        <f t="shared" si="4"/>
        <v>250355.68</v>
      </c>
      <c r="W36" s="15">
        <f t="shared" si="5"/>
        <v>0</v>
      </c>
    </row>
    <row r="37" spans="1:23" ht="15" customHeight="1" x14ac:dyDescent="0.2">
      <c r="A37" s="14" t="s">
        <v>2072</v>
      </c>
      <c r="B37" s="14" t="s">
        <v>2073</v>
      </c>
      <c r="C37" s="14" t="s">
        <v>2042</v>
      </c>
      <c r="D37" s="14" t="s">
        <v>47</v>
      </c>
      <c r="E37" s="14" t="s">
        <v>1993</v>
      </c>
      <c r="F37" s="14">
        <v>3908</v>
      </c>
      <c r="G37" s="15">
        <v>191.26</v>
      </c>
      <c r="H37" s="16">
        <v>46001</v>
      </c>
      <c r="I37" s="16">
        <v>45953</v>
      </c>
      <c r="J37" s="16"/>
      <c r="K37" s="14" t="s">
        <v>2052</v>
      </c>
      <c r="L37" s="16" t="str">
        <f>IF(D37="Packaging","",IF(ISNUMBER(J37),J37,IF(ISNUMBER(I37),EDATE(I37,VLOOKUP(D37,Assumptions!$A$10:$B$16,2,0)),"")))</f>
        <v/>
      </c>
      <c r="M37" s="14" t="str">
        <f>IF(ISNUMBER(L37),L37-Assumptions!$B$5,"")</f>
        <v/>
      </c>
      <c r="N37" s="17">
        <f t="shared" si="0"/>
        <v>0</v>
      </c>
      <c r="O37" s="14">
        <f>IF(COUNTIF(Assumptions!$A$25:$A$27,A37)&gt;0,1,0)</f>
        <v>0</v>
      </c>
      <c r="P37" s="14">
        <f>IF(COUNTIF(Assumptions!$B$25:$B$26,A37)&gt;0,1,0)</f>
        <v>0</v>
      </c>
      <c r="Q37" s="14">
        <f>IF(COUNTIF(Assumptions!$C$25:$C$25,A37)&gt;0,1,0)</f>
        <v>0</v>
      </c>
      <c r="R37" s="17">
        <f t="shared" si="1"/>
        <v>0</v>
      </c>
      <c r="S37" s="15" t="str">
        <f>IFERROR(VLOOKUP(A37,Assumptions!$A$31:$B$33,2,0),"")</f>
        <v/>
      </c>
      <c r="T37" s="15">
        <f t="shared" si="2"/>
        <v>191.26</v>
      </c>
      <c r="U37" s="15">
        <f t="shared" si="3"/>
        <v>747444.08</v>
      </c>
      <c r="V37" s="15">
        <f t="shared" si="4"/>
        <v>747444.08</v>
      </c>
      <c r="W37" s="15">
        <f t="shared" si="5"/>
        <v>0</v>
      </c>
    </row>
    <row r="38" spans="1:23" ht="15" customHeight="1" x14ac:dyDescent="0.2">
      <c r="A38" s="14" t="s">
        <v>2074</v>
      </c>
      <c r="B38" s="14" t="s">
        <v>2075</v>
      </c>
      <c r="C38" s="14" t="s">
        <v>2076</v>
      </c>
      <c r="D38" s="14" t="s">
        <v>45</v>
      </c>
      <c r="E38" s="14" t="s">
        <v>2037</v>
      </c>
      <c r="F38" s="14">
        <v>2111</v>
      </c>
      <c r="G38" s="15">
        <v>298.33999999999997</v>
      </c>
      <c r="H38" s="16">
        <v>46013</v>
      </c>
      <c r="I38" s="16">
        <v>46390</v>
      </c>
      <c r="J38" s="16">
        <v>46571</v>
      </c>
      <c r="K38" s="14" t="s">
        <v>2004</v>
      </c>
      <c r="L38" s="16">
        <f>IF(D38="Packaging","",IF(ISNUMBER(J38),J38,IF(ISNUMBER(I38),EDATE(I38,VLOOKUP(D38,Assumptions!$A$10:$B$16,2,0)),"")))</f>
        <v>46571</v>
      </c>
      <c r="M38" s="14">
        <f>IF(ISNUMBER(L38),L38-Assumptions!$B$5,"")</f>
        <v>549</v>
      </c>
      <c r="N38" s="17">
        <f t="shared" si="0"/>
        <v>0</v>
      </c>
      <c r="O38" s="14">
        <f>IF(COUNTIF(Assumptions!$A$25:$A$27,A38)&gt;0,1,0)</f>
        <v>0</v>
      </c>
      <c r="P38" s="14">
        <f>IF(COUNTIF(Assumptions!$B$25:$B$26,A38)&gt;0,1,0)</f>
        <v>0</v>
      </c>
      <c r="Q38" s="14">
        <f>IF(COUNTIF(Assumptions!$C$25:$C$25,A38)&gt;0,1,0)</f>
        <v>0</v>
      </c>
      <c r="R38" s="17">
        <f t="shared" si="1"/>
        <v>0</v>
      </c>
      <c r="S38" s="15" t="str">
        <f>IFERROR(VLOOKUP(A38,Assumptions!$A$31:$B$33,2,0),"")</f>
        <v/>
      </c>
      <c r="T38" s="15">
        <f t="shared" si="2"/>
        <v>298.33999999999997</v>
      </c>
      <c r="U38" s="15">
        <f t="shared" si="3"/>
        <v>629795.74</v>
      </c>
      <c r="V38" s="15">
        <f t="shared" si="4"/>
        <v>629795.74</v>
      </c>
      <c r="W38" s="15">
        <f t="shared" si="5"/>
        <v>0</v>
      </c>
    </row>
    <row r="39" spans="1:23" ht="15" customHeight="1" x14ac:dyDescent="0.2">
      <c r="A39" s="14" t="s">
        <v>145</v>
      </c>
      <c r="B39" s="14" t="s">
        <v>144</v>
      </c>
      <c r="C39" s="14" t="s">
        <v>2022</v>
      </c>
      <c r="D39" s="14" t="s">
        <v>39</v>
      </c>
      <c r="E39" s="14" t="s">
        <v>2014</v>
      </c>
      <c r="F39" s="14">
        <v>4700</v>
      </c>
      <c r="G39" s="15">
        <v>1.17</v>
      </c>
      <c r="H39" s="16">
        <v>45241</v>
      </c>
      <c r="I39" s="16">
        <v>45233</v>
      </c>
      <c r="J39" s="16"/>
      <c r="K39" s="14" t="s">
        <v>2004</v>
      </c>
      <c r="L39" s="16">
        <f>IF(D39="Packaging","",IF(ISNUMBER(J39),J39,IF(ISNUMBER(I39),EDATE(I39,VLOOKUP(D39,Assumptions!$A$10:$B$16,2,0)),"")))</f>
        <v>46329</v>
      </c>
      <c r="M39" s="14">
        <f>IF(ISNUMBER(L39),L39-Assumptions!$B$5,"")</f>
        <v>307</v>
      </c>
      <c r="N39" s="17">
        <f t="shared" si="0"/>
        <v>0</v>
      </c>
      <c r="O39" s="14">
        <f>IF(COUNTIF(Assumptions!$A$25:$A$27,A39)&gt;0,1,0)</f>
        <v>0</v>
      </c>
      <c r="P39" s="14">
        <f>IF(COUNTIF(Assumptions!$B$25:$B$26,A39)&gt;0,1,0)</f>
        <v>0</v>
      </c>
      <c r="Q39" s="14">
        <f>IF(COUNTIF(Assumptions!$C$25:$C$25,A39)&gt;0,1,0)</f>
        <v>0</v>
      </c>
      <c r="R39" s="17">
        <f t="shared" si="1"/>
        <v>0</v>
      </c>
      <c r="S39" s="15" t="str">
        <f>IFERROR(VLOOKUP(A39,Assumptions!$A$31:$B$33,2,0),"")</f>
        <v/>
      </c>
      <c r="T39" s="15">
        <f t="shared" si="2"/>
        <v>1.17</v>
      </c>
      <c r="U39" s="15">
        <f t="shared" si="3"/>
        <v>5499</v>
      </c>
      <c r="V39" s="15">
        <f t="shared" si="4"/>
        <v>5499</v>
      </c>
      <c r="W39" s="15">
        <f t="shared" si="5"/>
        <v>0</v>
      </c>
    </row>
    <row r="40" spans="1:23" ht="15" customHeight="1" x14ac:dyDescent="0.2">
      <c r="A40" s="14" t="s">
        <v>2077</v>
      </c>
      <c r="B40" s="14" t="s">
        <v>2078</v>
      </c>
      <c r="C40" s="14" t="s">
        <v>2018</v>
      </c>
      <c r="D40" s="14" t="s">
        <v>36</v>
      </c>
      <c r="E40" s="14" t="s">
        <v>1993</v>
      </c>
      <c r="F40" s="14">
        <v>3246</v>
      </c>
      <c r="G40" s="15">
        <v>275.61</v>
      </c>
      <c r="H40" s="16">
        <v>45964</v>
      </c>
      <c r="I40" s="16">
        <v>46036</v>
      </c>
      <c r="J40" s="16">
        <v>46766</v>
      </c>
      <c r="K40" s="14" t="s">
        <v>1989</v>
      </c>
      <c r="L40" s="16">
        <f>IF(D40="Packaging","",IF(ISNUMBER(J40),J40,IF(ISNUMBER(I40),EDATE(I40,VLOOKUP(D40,Assumptions!$A$10:$B$16,2,0)),"")))</f>
        <v>46766</v>
      </c>
      <c r="M40" s="14">
        <f>IF(ISNUMBER(L40),L40-Assumptions!$B$5,"")</f>
        <v>744</v>
      </c>
      <c r="N40" s="17">
        <f t="shared" si="0"/>
        <v>0</v>
      </c>
      <c r="O40" s="14">
        <f>IF(COUNTIF(Assumptions!$A$25:$A$27,A40)&gt;0,1,0)</f>
        <v>0</v>
      </c>
      <c r="P40" s="14">
        <f>IF(COUNTIF(Assumptions!$B$25:$B$26,A40)&gt;0,1,0)</f>
        <v>0</v>
      </c>
      <c r="Q40" s="14">
        <f>IF(COUNTIF(Assumptions!$C$25:$C$25,A40)&gt;0,1,0)</f>
        <v>0</v>
      </c>
      <c r="R40" s="17">
        <f t="shared" si="1"/>
        <v>0</v>
      </c>
      <c r="S40" s="15" t="str">
        <f>IFERROR(VLOOKUP(A40,Assumptions!$A$31:$B$33,2,0),"")</f>
        <v/>
      </c>
      <c r="T40" s="15">
        <f t="shared" si="2"/>
        <v>275.61</v>
      </c>
      <c r="U40" s="15">
        <f t="shared" si="3"/>
        <v>894630.06</v>
      </c>
      <c r="V40" s="15">
        <f t="shared" si="4"/>
        <v>894630.06</v>
      </c>
      <c r="W40" s="15">
        <f t="shared" si="5"/>
        <v>0</v>
      </c>
    </row>
    <row r="41" spans="1:23" ht="15" customHeight="1" x14ac:dyDescent="0.2">
      <c r="A41" s="14" t="s">
        <v>2079</v>
      </c>
      <c r="B41" s="14" t="s">
        <v>2080</v>
      </c>
      <c r="C41" s="14" t="s">
        <v>2003</v>
      </c>
      <c r="D41" s="14" t="s">
        <v>46</v>
      </c>
      <c r="E41" s="14" t="s">
        <v>2014</v>
      </c>
      <c r="F41" s="14">
        <v>1689</v>
      </c>
      <c r="G41" s="15">
        <v>309.64999999999998</v>
      </c>
      <c r="H41" s="16">
        <v>45998</v>
      </c>
      <c r="I41" s="16">
        <v>46357</v>
      </c>
      <c r="J41" s="16">
        <v>46631</v>
      </c>
      <c r="K41" s="14" t="s">
        <v>2015</v>
      </c>
      <c r="L41" s="16">
        <f>IF(D41="Packaging","",IF(ISNUMBER(J41),J41,IF(ISNUMBER(I41),EDATE(I41,VLOOKUP(D41,Assumptions!$A$10:$B$16,2,0)),"")))</f>
        <v>46631</v>
      </c>
      <c r="M41" s="14">
        <f>IF(ISNUMBER(L41),L41-Assumptions!$B$5,"")</f>
        <v>609</v>
      </c>
      <c r="N41" s="17">
        <f t="shared" si="0"/>
        <v>0</v>
      </c>
      <c r="O41" s="14">
        <f>IF(COUNTIF(Assumptions!$A$25:$A$27,A41)&gt;0,1,0)</f>
        <v>0</v>
      </c>
      <c r="P41" s="14">
        <f>IF(COUNTIF(Assumptions!$B$25:$B$26,A41)&gt;0,1,0)</f>
        <v>0</v>
      </c>
      <c r="Q41" s="14">
        <f>IF(COUNTIF(Assumptions!$C$25:$C$25,A41)&gt;0,1,0)</f>
        <v>0</v>
      </c>
      <c r="R41" s="17">
        <f t="shared" si="1"/>
        <v>0</v>
      </c>
      <c r="S41" s="15" t="str">
        <f>IFERROR(VLOOKUP(A41,Assumptions!$A$31:$B$33,2,0),"")</f>
        <v/>
      </c>
      <c r="T41" s="15">
        <f t="shared" si="2"/>
        <v>309.64999999999998</v>
      </c>
      <c r="U41" s="15">
        <f t="shared" si="3"/>
        <v>522998.85</v>
      </c>
      <c r="V41" s="15">
        <f t="shared" si="4"/>
        <v>522998.85</v>
      </c>
      <c r="W41" s="15">
        <f t="shared" si="5"/>
        <v>0</v>
      </c>
    </row>
    <row r="42" spans="1:23" ht="15" customHeight="1" x14ac:dyDescent="0.2">
      <c r="A42" s="14" t="s">
        <v>2081</v>
      </c>
      <c r="B42" s="14" t="s">
        <v>2082</v>
      </c>
      <c r="C42" s="14" t="s">
        <v>2046</v>
      </c>
      <c r="D42" s="14" t="s">
        <v>42</v>
      </c>
      <c r="E42" s="14" t="s">
        <v>2014</v>
      </c>
      <c r="F42" s="14">
        <v>3459</v>
      </c>
      <c r="G42" s="15">
        <v>262.19</v>
      </c>
      <c r="H42" s="16">
        <v>46010</v>
      </c>
      <c r="I42" s="16">
        <v>46075</v>
      </c>
      <c r="J42" s="16"/>
      <c r="K42" s="14" t="s">
        <v>2052</v>
      </c>
      <c r="L42" s="16">
        <f>IF(D42="Packaging","",IF(ISNUMBER(J42),J42,IF(ISNUMBER(I42),EDATE(I42,VLOOKUP(D42,Assumptions!$A$10:$B$16,2,0)),"")))</f>
        <v>46440</v>
      </c>
      <c r="M42" s="14">
        <f>IF(ISNUMBER(L42),L42-Assumptions!$B$5,"")</f>
        <v>418</v>
      </c>
      <c r="N42" s="17">
        <f t="shared" si="0"/>
        <v>0</v>
      </c>
      <c r="O42" s="14">
        <f>IF(COUNTIF(Assumptions!$A$25:$A$27,A42)&gt;0,1,0)</f>
        <v>0</v>
      </c>
      <c r="P42" s="14">
        <f>IF(COUNTIF(Assumptions!$B$25:$B$26,A42)&gt;0,1,0)</f>
        <v>0</v>
      </c>
      <c r="Q42" s="14">
        <f>IF(COUNTIF(Assumptions!$C$25:$C$25,A42)&gt;0,1,0)</f>
        <v>0</v>
      </c>
      <c r="R42" s="17">
        <f t="shared" si="1"/>
        <v>0</v>
      </c>
      <c r="S42" s="15" t="str">
        <f>IFERROR(VLOOKUP(A42,Assumptions!$A$31:$B$33,2,0),"")</f>
        <v/>
      </c>
      <c r="T42" s="15">
        <f t="shared" si="2"/>
        <v>262.19</v>
      </c>
      <c r="U42" s="15">
        <f t="shared" si="3"/>
        <v>906915.21</v>
      </c>
      <c r="V42" s="15">
        <f t="shared" si="4"/>
        <v>906915.21</v>
      </c>
      <c r="W42" s="15">
        <f t="shared" si="5"/>
        <v>0</v>
      </c>
    </row>
    <row r="43" spans="1:23" ht="15" customHeight="1" x14ac:dyDescent="0.2">
      <c r="A43" s="14" t="s">
        <v>2083</v>
      </c>
      <c r="B43" s="14" t="s">
        <v>2084</v>
      </c>
      <c r="C43" s="14" t="s">
        <v>1992</v>
      </c>
      <c r="D43" s="14" t="s">
        <v>45</v>
      </c>
      <c r="E43" s="14" t="s">
        <v>2037</v>
      </c>
      <c r="F43" s="14">
        <v>2872</v>
      </c>
      <c r="G43" s="15">
        <v>185.97</v>
      </c>
      <c r="H43" s="16">
        <v>45980</v>
      </c>
      <c r="I43" s="16">
        <v>46261</v>
      </c>
      <c r="J43" s="16"/>
      <c r="K43" s="14" t="s">
        <v>2004</v>
      </c>
      <c r="L43" s="16">
        <f>IF(D43="Packaging","",IF(ISNUMBER(J43),J43,IF(ISNUMBER(I43),EDATE(I43,VLOOKUP(D43,Assumptions!$A$10:$B$16,2,0)),"")))</f>
        <v>46445</v>
      </c>
      <c r="M43" s="14">
        <f>IF(ISNUMBER(L43),L43-Assumptions!$B$5,"")</f>
        <v>423</v>
      </c>
      <c r="N43" s="17">
        <f t="shared" si="0"/>
        <v>0</v>
      </c>
      <c r="O43" s="14">
        <f>IF(COUNTIF(Assumptions!$A$25:$A$27,A43)&gt;0,1,0)</f>
        <v>0</v>
      </c>
      <c r="P43" s="14">
        <f>IF(COUNTIF(Assumptions!$B$25:$B$26,A43)&gt;0,1,0)</f>
        <v>0</v>
      </c>
      <c r="Q43" s="14">
        <f>IF(COUNTIF(Assumptions!$C$25:$C$25,A43)&gt;0,1,0)</f>
        <v>0</v>
      </c>
      <c r="R43" s="17">
        <f t="shared" si="1"/>
        <v>0</v>
      </c>
      <c r="S43" s="15" t="str">
        <f>IFERROR(VLOOKUP(A43,Assumptions!$A$31:$B$33,2,0),"")</f>
        <v/>
      </c>
      <c r="T43" s="15">
        <f t="shared" si="2"/>
        <v>185.97</v>
      </c>
      <c r="U43" s="15">
        <f t="shared" si="3"/>
        <v>534105.84</v>
      </c>
      <c r="V43" s="15">
        <f t="shared" si="4"/>
        <v>534105.84</v>
      </c>
      <c r="W43" s="15">
        <f t="shared" si="5"/>
        <v>0</v>
      </c>
    </row>
    <row r="44" spans="1:23" ht="15" customHeight="1" x14ac:dyDescent="0.2">
      <c r="A44" s="14" t="s">
        <v>183</v>
      </c>
      <c r="B44" s="14" t="s">
        <v>182</v>
      </c>
      <c r="C44" s="14" t="s">
        <v>2043</v>
      </c>
      <c r="D44" s="14" t="s">
        <v>39</v>
      </c>
      <c r="E44" s="14" t="s">
        <v>1993</v>
      </c>
      <c r="F44" s="14">
        <v>4702</v>
      </c>
      <c r="G44" s="15">
        <v>87.77</v>
      </c>
      <c r="H44" s="16">
        <v>45518</v>
      </c>
      <c r="I44" s="16">
        <v>45493</v>
      </c>
      <c r="J44" s="16"/>
      <c r="K44" s="14" t="s">
        <v>2004</v>
      </c>
      <c r="L44" s="16">
        <f>IF(D44="Packaging","",IF(ISNUMBER(J44),J44,IF(ISNUMBER(I44),EDATE(I44,VLOOKUP(D44,Assumptions!$A$10:$B$16,2,0)),"")))</f>
        <v>46588</v>
      </c>
      <c r="M44" s="14">
        <f>IF(ISNUMBER(L44),L44-Assumptions!$B$5,"")</f>
        <v>566</v>
      </c>
      <c r="N44" s="17">
        <f t="shared" si="0"/>
        <v>0</v>
      </c>
      <c r="O44" s="14">
        <f>IF(COUNTIF(Assumptions!$A$25:$A$27,A44)&gt;0,1,0)</f>
        <v>0</v>
      </c>
      <c r="P44" s="14">
        <f>IF(COUNTIF(Assumptions!$B$25:$B$26,A44)&gt;0,1,0)</f>
        <v>0</v>
      </c>
      <c r="Q44" s="14">
        <f>IF(COUNTIF(Assumptions!$C$25:$C$25,A44)&gt;0,1,0)</f>
        <v>0</v>
      </c>
      <c r="R44" s="17">
        <f t="shared" si="1"/>
        <v>0</v>
      </c>
      <c r="S44" s="15" t="str">
        <f>IFERROR(VLOOKUP(A44,Assumptions!$A$31:$B$33,2,0),"")</f>
        <v/>
      </c>
      <c r="T44" s="15">
        <f t="shared" si="2"/>
        <v>87.77</v>
      </c>
      <c r="U44" s="15">
        <f t="shared" si="3"/>
        <v>412694.54</v>
      </c>
      <c r="V44" s="15">
        <f t="shared" si="4"/>
        <v>412694.54</v>
      </c>
      <c r="W44" s="15">
        <f t="shared" si="5"/>
        <v>0</v>
      </c>
    </row>
    <row r="45" spans="1:23" ht="15" customHeight="1" x14ac:dyDescent="0.2">
      <c r="A45" s="14" t="s">
        <v>2085</v>
      </c>
      <c r="B45" s="14" t="s">
        <v>2086</v>
      </c>
      <c r="C45" s="14" t="s">
        <v>2066</v>
      </c>
      <c r="D45" s="14" t="s">
        <v>42</v>
      </c>
      <c r="E45" s="14" t="s">
        <v>1993</v>
      </c>
      <c r="F45" s="14">
        <v>2663</v>
      </c>
      <c r="G45" s="15">
        <v>42.09</v>
      </c>
      <c r="H45" s="16">
        <v>45962</v>
      </c>
      <c r="I45" s="16">
        <v>46205</v>
      </c>
      <c r="J45" s="16"/>
      <c r="K45" s="14" t="s">
        <v>2004</v>
      </c>
      <c r="L45" s="16">
        <f>IF(D45="Packaging","",IF(ISNUMBER(J45),J45,IF(ISNUMBER(I45),EDATE(I45,VLOOKUP(D45,Assumptions!$A$10:$B$16,2,0)),"")))</f>
        <v>46570</v>
      </c>
      <c r="M45" s="14">
        <f>IF(ISNUMBER(L45),L45-Assumptions!$B$5,"")</f>
        <v>548</v>
      </c>
      <c r="N45" s="17">
        <f t="shared" si="0"/>
        <v>0</v>
      </c>
      <c r="O45" s="14">
        <f>IF(COUNTIF(Assumptions!$A$25:$A$27,A45)&gt;0,1,0)</f>
        <v>0</v>
      </c>
      <c r="P45" s="14">
        <f>IF(COUNTIF(Assumptions!$B$25:$B$26,A45)&gt;0,1,0)</f>
        <v>0</v>
      </c>
      <c r="Q45" s="14">
        <f>IF(COUNTIF(Assumptions!$C$25:$C$25,A45)&gt;0,1,0)</f>
        <v>0</v>
      </c>
      <c r="R45" s="17">
        <f t="shared" si="1"/>
        <v>0</v>
      </c>
      <c r="S45" s="15" t="str">
        <f>IFERROR(VLOOKUP(A45,Assumptions!$A$31:$B$33,2,0),"")</f>
        <v/>
      </c>
      <c r="T45" s="15">
        <f t="shared" si="2"/>
        <v>42.09</v>
      </c>
      <c r="U45" s="15">
        <f t="shared" si="3"/>
        <v>112085.67000000001</v>
      </c>
      <c r="V45" s="15">
        <f t="shared" si="4"/>
        <v>112085.67000000001</v>
      </c>
      <c r="W45" s="15">
        <f t="shared" si="5"/>
        <v>0</v>
      </c>
    </row>
    <row r="46" spans="1:23" ht="15" customHeight="1" x14ac:dyDescent="0.2">
      <c r="A46" s="14" t="s">
        <v>2087</v>
      </c>
      <c r="B46" s="14" t="s">
        <v>2088</v>
      </c>
      <c r="C46" s="14" t="s">
        <v>2089</v>
      </c>
      <c r="D46" s="14" t="s">
        <v>46</v>
      </c>
      <c r="E46" s="14" t="s">
        <v>2014</v>
      </c>
      <c r="F46" s="14">
        <v>2398</v>
      </c>
      <c r="G46" s="15">
        <v>371.44</v>
      </c>
      <c r="H46" s="16">
        <v>46002</v>
      </c>
      <c r="I46" s="16">
        <v>46466</v>
      </c>
      <c r="J46" s="16"/>
      <c r="K46" s="14" t="s">
        <v>2021</v>
      </c>
      <c r="L46" s="16">
        <f>IF(D46="Packaging","",IF(ISNUMBER(J46),J46,IF(ISNUMBER(I46),EDATE(I46,VLOOKUP(D46,Assumptions!$A$10:$B$16,2,0)),"")))</f>
        <v>46741</v>
      </c>
      <c r="M46" s="14">
        <f>IF(ISNUMBER(L46),L46-Assumptions!$B$5,"")</f>
        <v>719</v>
      </c>
      <c r="N46" s="17">
        <f t="shared" si="0"/>
        <v>0</v>
      </c>
      <c r="O46" s="14">
        <f>IF(COUNTIF(Assumptions!$A$25:$A$27,A46)&gt;0,1,0)</f>
        <v>0</v>
      </c>
      <c r="P46" s="14">
        <f>IF(COUNTIF(Assumptions!$B$25:$B$26,A46)&gt;0,1,0)</f>
        <v>0</v>
      </c>
      <c r="Q46" s="14">
        <f>IF(COUNTIF(Assumptions!$C$25:$C$25,A46)&gt;0,1,0)</f>
        <v>0</v>
      </c>
      <c r="R46" s="17">
        <f t="shared" si="1"/>
        <v>0</v>
      </c>
      <c r="S46" s="15" t="str">
        <f>IFERROR(VLOOKUP(A46,Assumptions!$A$31:$B$33,2,0),"")</f>
        <v/>
      </c>
      <c r="T46" s="15">
        <f t="shared" si="2"/>
        <v>371.44</v>
      </c>
      <c r="U46" s="15">
        <f t="shared" si="3"/>
        <v>890713.12</v>
      </c>
      <c r="V46" s="15">
        <f t="shared" si="4"/>
        <v>890713.12</v>
      </c>
      <c r="W46" s="15">
        <f t="shared" si="5"/>
        <v>0</v>
      </c>
    </row>
    <row r="47" spans="1:23" ht="15" customHeight="1" x14ac:dyDescent="0.2">
      <c r="A47" s="14" t="s">
        <v>2090</v>
      </c>
      <c r="B47" s="14" t="s">
        <v>2091</v>
      </c>
      <c r="C47" s="14" t="s">
        <v>1992</v>
      </c>
      <c r="D47" s="14" t="s">
        <v>45</v>
      </c>
      <c r="E47" s="14" t="s">
        <v>2014</v>
      </c>
      <c r="F47" s="14">
        <v>2949</v>
      </c>
      <c r="G47" s="15">
        <v>413.13</v>
      </c>
      <c r="H47" s="16">
        <v>45970</v>
      </c>
      <c r="I47" s="16">
        <v>46516</v>
      </c>
      <c r="J47" s="16"/>
      <c r="K47" s="14" t="s">
        <v>2052</v>
      </c>
      <c r="L47" s="16">
        <f>IF(D47="Packaging","",IF(ISNUMBER(J47),J47,IF(ISNUMBER(I47),EDATE(I47,VLOOKUP(D47,Assumptions!$A$10:$B$16,2,0)),"")))</f>
        <v>46700</v>
      </c>
      <c r="M47" s="14">
        <f>IF(ISNUMBER(L47),L47-Assumptions!$B$5,"")</f>
        <v>678</v>
      </c>
      <c r="N47" s="17">
        <f t="shared" si="0"/>
        <v>0</v>
      </c>
      <c r="O47" s="14">
        <f>IF(COUNTIF(Assumptions!$A$25:$A$27,A47)&gt;0,1,0)</f>
        <v>0</v>
      </c>
      <c r="P47" s="14">
        <f>IF(COUNTIF(Assumptions!$B$25:$B$26,A47)&gt;0,1,0)</f>
        <v>0</v>
      </c>
      <c r="Q47" s="14">
        <f>IF(COUNTIF(Assumptions!$C$25:$C$25,A47)&gt;0,1,0)</f>
        <v>0</v>
      </c>
      <c r="R47" s="17">
        <f t="shared" si="1"/>
        <v>0</v>
      </c>
      <c r="S47" s="15" t="str">
        <f>IFERROR(VLOOKUP(A47,Assumptions!$A$31:$B$33,2,0),"")</f>
        <v/>
      </c>
      <c r="T47" s="15">
        <f t="shared" si="2"/>
        <v>413.13</v>
      </c>
      <c r="U47" s="15">
        <f t="shared" si="3"/>
        <v>1218320.3699999999</v>
      </c>
      <c r="V47" s="15">
        <f t="shared" si="4"/>
        <v>1218320.3699999999</v>
      </c>
      <c r="W47" s="15">
        <f t="shared" si="5"/>
        <v>0</v>
      </c>
    </row>
    <row r="48" spans="1:23" ht="15" customHeight="1" x14ac:dyDescent="0.2">
      <c r="A48" s="14" t="s">
        <v>2092</v>
      </c>
      <c r="B48" s="14" t="s">
        <v>2093</v>
      </c>
      <c r="C48" s="14" t="s">
        <v>2094</v>
      </c>
      <c r="D48" s="14" t="s">
        <v>47</v>
      </c>
      <c r="E48" s="14" t="s">
        <v>2014</v>
      </c>
      <c r="F48" s="14">
        <v>2919</v>
      </c>
      <c r="G48" s="15">
        <v>27.51</v>
      </c>
      <c r="H48" s="16">
        <v>45778</v>
      </c>
      <c r="I48" s="16">
        <v>45735</v>
      </c>
      <c r="J48" s="16"/>
      <c r="K48" s="14" t="s">
        <v>2052</v>
      </c>
      <c r="L48" s="16" t="str">
        <f>IF(D48="Packaging","",IF(ISNUMBER(J48),J48,IF(ISNUMBER(I48),EDATE(I48,VLOOKUP(D48,Assumptions!$A$10:$B$16,2,0)),"")))</f>
        <v/>
      </c>
      <c r="M48" s="14" t="str">
        <f>IF(ISNUMBER(L48),L48-Assumptions!$B$5,"")</f>
        <v/>
      </c>
      <c r="N48" s="17">
        <f t="shared" si="0"/>
        <v>0</v>
      </c>
      <c r="O48" s="14">
        <f>IF(COUNTIF(Assumptions!$A$25:$A$27,A48)&gt;0,1,0)</f>
        <v>0</v>
      </c>
      <c r="P48" s="14">
        <f>IF(COUNTIF(Assumptions!$B$25:$B$26,A48)&gt;0,1,0)</f>
        <v>0</v>
      </c>
      <c r="Q48" s="14">
        <f>IF(COUNTIF(Assumptions!$C$25:$C$25,A48)&gt;0,1,0)</f>
        <v>0</v>
      </c>
      <c r="R48" s="17">
        <f t="shared" si="1"/>
        <v>0</v>
      </c>
      <c r="S48" s="15" t="str">
        <f>IFERROR(VLOOKUP(A48,Assumptions!$A$31:$B$33,2,0),"")</f>
        <v/>
      </c>
      <c r="T48" s="15">
        <f t="shared" si="2"/>
        <v>27.51</v>
      </c>
      <c r="U48" s="15">
        <f t="shared" si="3"/>
        <v>80301.69</v>
      </c>
      <c r="V48" s="15">
        <f t="shared" si="4"/>
        <v>80301.69</v>
      </c>
      <c r="W48" s="15">
        <f t="shared" si="5"/>
        <v>0</v>
      </c>
    </row>
    <row r="49" spans="1:23" ht="15" customHeight="1" x14ac:dyDescent="0.2">
      <c r="A49" s="14" t="s">
        <v>2095</v>
      </c>
      <c r="B49" s="14" t="s">
        <v>2096</v>
      </c>
      <c r="C49" s="14" t="s">
        <v>2046</v>
      </c>
      <c r="D49" s="14" t="s">
        <v>42</v>
      </c>
      <c r="E49" s="14" t="s">
        <v>1988</v>
      </c>
      <c r="F49" s="14">
        <v>4302</v>
      </c>
      <c r="G49" s="15">
        <v>221.78</v>
      </c>
      <c r="H49" s="16">
        <v>45973</v>
      </c>
      <c r="I49" s="16">
        <v>46056</v>
      </c>
      <c r="J49" s="16">
        <v>46421</v>
      </c>
      <c r="K49" s="14" t="s">
        <v>1989</v>
      </c>
      <c r="L49" s="16">
        <f>IF(D49="Packaging","",IF(ISNUMBER(J49),J49,IF(ISNUMBER(I49),EDATE(I49,VLOOKUP(D49,Assumptions!$A$10:$B$16,2,0)),"")))</f>
        <v>46421</v>
      </c>
      <c r="M49" s="14">
        <f>IF(ISNUMBER(L49),L49-Assumptions!$B$5,"")</f>
        <v>399</v>
      </c>
      <c r="N49" s="17">
        <f t="shared" si="0"/>
        <v>0</v>
      </c>
      <c r="O49" s="14">
        <f>IF(COUNTIF(Assumptions!$A$25:$A$27,A49)&gt;0,1,0)</f>
        <v>0</v>
      </c>
      <c r="P49" s="14">
        <f>IF(COUNTIF(Assumptions!$B$25:$B$26,A49)&gt;0,1,0)</f>
        <v>0</v>
      </c>
      <c r="Q49" s="14">
        <f>IF(COUNTIF(Assumptions!$C$25:$C$25,A49)&gt;0,1,0)</f>
        <v>0</v>
      </c>
      <c r="R49" s="17">
        <f t="shared" si="1"/>
        <v>0</v>
      </c>
      <c r="S49" s="15" t="str">
        <f>IFERROR(VLOOKUP(A49,Assumptions!$A$31:$B$33,2,0),"")</f>
        <v/>
      </c>
      <c r="T49" s="15">
        <f t="shared" si="2"/>
        <v>221.78</v>
      </c>
      <c r="U49" s="15">
        <f t="shared" si="3"/>
        <v>954097.56</v>
      </c>
      <c r="V49" s="15">
        <f t="shared" si="4"/>
        <v>954097.56</v>
      </c>
      <c r="W49" s="15">
        <f t="shared" si="5"/>
        <v>0</v>
      </c>
    </row>
    <row r="50" spans="1:23" ht="15" customHeight="1" x14ac:dyDescent="0.2">
      <c r="A50" s="14" t="s">
        <v>2097</v>
      </c>
      <c r="B50" s="14" t="s">
        <v>2098</v>
      </c>
      <c r="C50" s="14" t="s">
        <v>1992</v>
      </c>
      <c r="D50" s="14" t="s">
        <v>45</v>
      </c>
      <c r="E50" s="14" t="s">
        <v>2014</v>
      </c>
      <c r="F50" s="14">
        <v>2183</v>
      </c>
      <c r="G50" s="15">
        <v>253.59</v>
      </c>
      <c r="H50" s="16">
        <v>46013</v>
      </c>
      <c r="I50" s="16">
        <v>46088</v>
      </c>
      <c r="J50" s="16">
        <v>46272</v>
      </c>
      <c r="K50" s="14" t="s">
        <v>2015</v>
      </c>
      <c r="L50" s="16">
        <f>IF(D50="Packaging","",IF(ISNUMBER(J50),J50,IF(ISNUMBER(I50),EDATE(I50,VLOOKUP(D50,Assumptions!$A$10:$B$16,2,0)),"")))</f>
        <v>46272</v>
      </c>
      <c r="M50" s="14">
        <f>IF(ISNUMBER(L50),L50-Assumptions!$B$5,"")</f>
        <v>250</v>
      </c>
      <c r="N50" s="17">
        <f t="shared" si="0"/>
        <v>0</v>
      </c>
      <c r="O50" s="14">
        <f>IF(COUNTIF(Assumptions!$A$25:$A$27,A50)&gt;0,1,0)</f>
        <v>0</v>
      </c>
      <c r="P50" s="14">
        <f>IF(COUNTIF(Assumptions!$B$25:$B$26,A50)&gt;0,1,0)</f>
        <v>0</v>
      </c>
      <c r="Q50" s="14">
        <f>IF(COUNTIF(Assumptions!$C$25:$C$25,A50)&gt;0,1,0)</f>
        <v>0</v>
      </c>
      <c r="R50" s="17">
        <f t="shared" si="1"/>
        <v>0</v>
      </c>
      <c r="S50" s="15" t="str">
        <f>IFERROR(VLOOKUP(A50,Assumptions!$A$31:$B$33,2,0),"")</f>
        <v/>
      </c>
      <c r="T50" s="15">
        <f t="shared" si="2"/>
        <v>253.59</v>
      </c>
      <c r="U50" s="15">
        <f t="shared" si="3"/>
        <v>553586.97</v>
      </c>
      <c r="V50" s="15">
        <f t="shared" si="4"/>
        <v>553586.97</v>
      </c>
      <c r="W50" s="15">
        <f t="shared" si="5"/>
        <v>0</v>
      </c>
    </row>
    <row r="51" spans="1:23" ht="15" customHeight="1" x14ac:dyDescent="0.2">
      <c r="A51" s="14" t="s">
        <v>2099</v>
      </c>
      <c r="B51" s="14" t="s">
        <v>2100</v>
      </c>
      <c r="C51" s="14" t="s">
        <v>2101</v>
      </c>
      <c r="D51" s="14" t="s">
        <v>46</v>
      </c>
      <c r="E51" s="14" t="s">
        <v>1993</v>
      </c>
      <c r="F51" s="14">
        <v>4925</v>
      </c>
      <c r="G51" s="15">
        <v>83.32</v>
      </c>
      <c r="H51" s="16">
        <v>46007</v>
      </c>
      <c r="I51" s="16">
        <v>46062</v>
      </c>
      <c r="J51" s="16"/>
      <c r="K51" s="14" t="s">
        <v>2052</v>
      </c>
      <c r="L51" s="16">
        <f>IF(D51="Packaging","",IF(ISNUMBER(J51),J51,IF(ISNUMBER(I51),EDATE(I51,VLOOKUP(D51,Assumptions!$A$10:$B$16,2,0)),"")))</f>
        <v>46335</v>
      </c>
      <c r="M51" s="14">
        <f>IF(ISNUMBER(L51),L51-Assumptions!$B$5,"")</f>
        <v>313</v>
      </c>
      <c r="N51" s="17">
        <f t="shared" si="0"/>
        <v>0</v>
      </c>
      <c r="O51" s="14">
        <f>IF(COUNTIF(Assumptions!$A$25:$A$27,A51)&gt;0,1,0)</f>
        <v>0</v>
      </c>
      <c r="P51" s="14">
        <f>IF(COUNTIF(Assumptions!$B$25:$B$26,A51)&gt;0,1,0)</f>
        <v>0</v>
      </c>
      <c r="Q51" s="14">
        <f>IF(COUNTIF(Assumptions!$C$25:$C$25,A51)&gt;0,1,0)</f>
        <v>0</v>
      </c>
      <c r="R51" s="17">
        <f t="shared" si="1"/>
        <v>0</v>
      </c>
      <c r="S51" s="15" t="str">
        <f>IFERROR(VLOOKUP(A51,Assumptions!$A$31:$B$33,2,0),"")</f>
        <v/>
      </c>
      <c r="T51" s="15">
        <f t="shared" si="2"/>
        <v>83.32</v>
      </c>
      <c r="U51" s="15">
        <f t="shared" si="3"/>
        <v>410350.99999999994</v>
      </c>
      <c r="V51" s="15">
        <f t="shared" si="4"/>
        <v>410350.99999999994</v>
      </c>
      <c r="W51" s="15">
        <f t="shared" si="5"/>
        <v>0</v>
      </c>
    </row>
    <row r="52" spans="1:23" ht="15" customHeight="1" x14ac:dyDescent="0.2">
      <c r="A52" s="14" t="s">
        <v>2102</v>
      </c>
      <c r="B52" s="14" t="s">
        <v>2103</v>
      </c>
      <c r="C52" s="14" t="s">
        <v>2046</v>
      </c>
      <c r="D52" s="14" t="s">
        <v>42</v>
      </c>
      <c r="E52" s="14" t="s">
        <v>1993</v>
      </c>
      <c r="F52" s="14">
        <v>345</v>
      </c>
      <c r="G52" s="15">
        <v>385.96</v>
      </c>
      <c r="H52" s="16">
        <v>45997</v>
      </c>
      <c r="I52" s="16">
        <v>46217</v>
      </c>
      <c r="J52" s="16">
        <v>46582</v>
      </c>
      <c r="K52" s="14" t="s">
        <v>2021</v>
      </c>
      <c r="L52" s="16">
        <f>IF(D52="Packaging","",IF(ISNUMBER(J52),J52,IF(ISNUMBER(I52),EDATE(I52,VLOOKUP(D52,Assumptions!$A$10:$B$16,2,0)),"")))</f>
        <v>46582</v>
      </c>
      <c r="M52" s="14">
        <f>IF(ISNUMBER(L52),L52-Assumptions!$B$5,"")</f>
        <v>560</v>
      </c>
      <c r="N52" s="17">
        <f t="shared" si="0"/>
        <v>0</v>
      </c>
      <c r="O52" s="14">
        <f>IF(COUNTIF(Assumptions!$A$25:$A$27,A52)&gt;0,1,0)</f>
        <v>0</v>
      </c>
      <c r="P52" s="14">
        <f>IF(COUNTIF(Assumptions!$B$25:$B$26,A52)&gt;0,1,0)</f>
        <v>0</v>
      </c>
      <c r="Q52" s="14">
        <f>IF(COUNTIF(Assumptions!$C$25:$C$25,A52)&gt;0,1,0)</f>
        <v>0</v>
      </c>
      <c r="R52" s="17">
        <f t="shared" si="1"/>
        <v>0</v>
      </c>
      <c r="S52" s="15" t="str">
        <f>IFERROR(VLOOKUP(A52,Assumptions!$A$31:$B$33,2,0),"")</f>
        <v/>
      </c>
      <c r="T52" s="15">
        <f t="shared" si="2"/>
        <v>385.96</v>
      </c>
      <c r="U52" s="15">
        <f t="shared" si="3"/>
        <v>133156.19999999998</v>
      </c>
      <c r="V52" s="15">
        <f t="shared" si="4"/>
        <v>133156.19999999998</v>
      </c>
      <c r="W52" s="15">
        <f t="shared" si="5"/>
        <v>0</v>
      </c>
    </row>
    <row r="53" spans="1:23" ht="15" customHeight="1" x14ac:dyDescent="0.2">
      <c r="A53" s="14" t="s">
        <v>131</v>
      </c>
      <c r="B53" s="14" t="s">
        <v>130</v>
      </c>
      <c r="C53" s="14" t="s">
        <v>2104</v>
      </c>
      <c r="D53" s="14" t="s">
        <v>36</v>
      </c>
      <c r="E53" s="14" t="s">
        <v>1993</v>
      </c>
      <c r="F53" s="14">
        <v>3421</v>
      </c>
      <c r="G53" s="15">
        <v>404.97</v>
      </c>
      <c r="H53" s="16">
        <v>45585</v>
      </c>
      <c r="I53" s="16">
        <v>45565</v>
      </c>
      <c r="J53" s="16"/>
      <c r="K53" s="14" t="s">
        <v>1989</v>
      </c>
      <c r="L53" s="16">
        <f>IF(D53="Packaging","",IF(ISNUMBER(J53),J53,IF(ISNUMBER(I53),EDATE(I53,VLOOKUP(D53,Assumptions!$A$10:$B$16,2,0)),"")))</f>
        <v>46295</v>
      </c>
      <c r="M53" s="14">
        <f>IF(ISNUMBER(L53),L53-Assumptions!$B$5,"")</f>
        <v>273</v>
      </c>
      <c r="N53" s="17">
        <f t="shared" si="0"/>
        <v>0</v>
      </c>
      <c r="O53" s="14">
        <f>IF(COUNTIF(Assumptions!$A$25:$A$27,A53)&gt;0,1,0)</f>
        <v>0</v>
      </c>
      <c r="P53" s="14">
        <f>IF(COUNTIF(Assumptions!$B$25:$B$26,A53)&gt;0,1,0)</f>
        <v>0</v>
      </c>
      <c r="Q53" s="14">
        <f>IF(COUNTIF(Assumptions!$C$25:$C$25,A53)&gt;0,1,0)</f>
        <v>0</v>
      </c>
      <c r="R53" s="17">
        <f t="shared" si="1"/>
        <v>0</v>
      </c>
      <c r="S53" s="15" t="str">
        <f>IFERROR(VLOOKUP(A53,Assumptions!$A$31:$B$33,2,0),"")</f>
        <v/>
      </c>
      <c r="T53" s="15">
        <f t="shared" si="2"/>
        <v>404.97</v>
      </c>
      <c r="U53" s="15">
        <f t="shared" si="3"/>
        <v>1385402.37</v>
      </c>
      <c r="V53" s="15">
        <f t="shared" si="4"/>
        <v>1385402.37</v>
      </c>
      <c r="W53" s="15">
        <f t="shared" si="5"/>
        <v>0</v>
      </c>
    </row>
    <row r="54" spans="1:23" ht="15" customHeight="1" x14ac:dyDescent="0.2">
      <c r="A54" s="14" t="s">
        <v>2105</v>
      </c>
      <c r="B54" s="14" t="s">
        <v>2106</v>
      </c>
      <c r="C54" s="14" t="s">
        <v>2107</v>
      </c>
      <c r="D54" s="14" t="s">
        <v>42</v>
      </c>
      <c r="E54" s="14" t="s">
        <v>2014</v>
      </c>
      <c r="F54" s="14">
        <v>4228</v>
      </c>
      <c r="G54" s="15">
        <v>213.55</v>
      </c>
      <c r="H54" s="16">
        <v>45986</v>
      </c>
      <c r="I54" s="16">
        <v>46408</v>
      </c>
      <c r="J54" s="16">
        <v>46773</v>
      </c>
      <c r="K54" s="14" t="s">
        <v>1989</v>
      </c>
      <c r="L54" s="16">
        <f>IF(D54="Packaging","",IF(ISNUMBER(J54),J54,IF(ISNUMBER(I54),EDATE(I54,VLOOKUP(D54,Assumptions!$A$10:$B$16,2,0)),"")))</f>
        <v>46773</v>
      </c>
      <c r="M54" s="14">
        <f>IF(ISNUMBER(L54),L54-Assumptions!$B$5,"")</f>
        <v>751</v>
      </c>
      <c r="N54" s="17">
        <f t="shared" si="0"/>
        <v>0</v>
      </c>
      <c r="O54" s="14">
        <f>IF(COUNTIF(Assumptions!$A$25:$A$27,A54)&gt;0,1,0)</f>
        <v>0</v>
      </c>
      <c r="P54" s="14">
        <f>IF(COUNTIF(Assumptions!$B$25:$B$26,A54)&gt;0,1,0)</f>
        <v>0</v>
      </c>
      <c r="Q54" s="14">
        <f>IF(COUNTIF(Assumptions!$C$25:$C$25,A54)&gt;0,1,0)</f>
        <v>0</v>
      </c>
      <c r="R54" s="17">
        <f t="shared" si="1"/>
        <v>0</v>
      </c>
      <c r="S54" s="15" t="str">
        <f>IFERROR(VLOOKUP(A54,Assumptions!$A$31:$B$33,2,0),"")</f>
        <v/>
      </c>
      <c r="T54" s="15">
        <f t="shared" si="2"/>
        <v>213.55</v>
      </c>
      <c r="U54" s="15">
        <f t="shared" si="3"/>
        <v>902889.4</v>
      </c>
      <c r="V54" s="15">
        <f t="shared" si="4"/>
        <v>902889.4</v>
      </c>
      <c r="W54" s="15">
        <f t="shared" si="5"/>
        <v>0</v>
      </c>
    </row>
    <row r="55" spans="1:23" ht="15" customHeight="1" x14ac:dyDescent="0.2">
      <c r="A55" s="14" t="s">
        <v>187</v>
      </c>
      <c r="B55" s="14" t="s">
        <v>186</v>
      </c>
      <c r="C55" s="14" t="s">
        <v>2108</v>
      </c>
      <c r="D55" s="14" t="s">
        <v>39</v>
      </c>
      <c r="E55" s="14" t="s">
        <v>1993</v>
      </c>
      <c r="F55" s="14">
        <v>4994</v>
      </c>
      <c r="G55" s="15">
        <v>78.510000000000005</v>
      </c>
      <c r="H55" s="16">
        <v>45721</v>
      </c>
      <c r="I55" s="16">
        <v>45702</v>
      </c>
      <c r="J55" s="16">
        <v>46797</v>
      </c>
      <c r="K55" s="14" t="s">
        <v>2030</v>
      </c>
      <c r="L55" s="16">
        <f>IF(D55="Packaging","",IF(ISNUMBER(J55),J55,IF(ISNUMBER(I55),EDATE(I55,VLOOKUP(D55,Assumptions!$A$10:$B$16,2,0)),"")))</f>
        <v>46797</v>
      </c>
      <c r="M55" s="14">
        <f>IF(ISNUMBER(L55),L55-Assumptions!$B$5,"")</f>
        <v>775</v>
      </c>
      <c r="N55" s="17">
        <f t="shared" si="0"/>
        <v>0</v>
      </c>
      <c r="O55" s="14">
        <f>IF(COUNTIF(Assumptions!$A$25:$A$27,A55)&gt;0,1,0)</f>
        <v>0</v>
      </c>
      <c r="P55" s="14">
        <f>IF(COUNTIF(Assumptions!$B$25:$B$26,A55)&gt;0,1,0)</f>
        <v>0</v>
      </c>
      <c r="Q55" s="14">
        <f>IF(COUNTIF(Assumptions!$C$25:$C$25,A55)&gt;0,1,0)</f>
        <v>0</v>
      </c>
      <c r="R55" s="17">
        <f t="shared" si="1"/>
        <v>0</v>
      </c>
      <c r="S55" s="15" t="str">
        <f>IFERROR(VLOOKUP(A55,Assumptions!$A$31:$B$33,2,0),"")</f>
        <v/>
      </c>
      <c r="T55" s="15">
        <f t="shared" si="2"/>
        <v>78.510000000000005</v>
      </c>
      <c r="U55" s="15">
        <f t="shared" si="3"/>
        <v>392078.94</v>
      </c>
      <c r="V55" s="15">
        <f t="shared" si="4"/>
        <v>392078.94</v>
      </c>
      <c r="W55" s="15">
        <f t="shared" si="5"/>
        <v>0</v>
      </c>
    </row>
    <row r="56" spans="1:23" ht="15" customHeight="1" x14ac:dyDescent="0.2">
      <c r="A56" s="14" t="s">
        <v>2109</v>
      </c>
      <c r="B56" s="14" t="s">
        <v>2110</v>
      </c>
      <c r="C56" s="14" t="s">
        <v>2003</v>
      </c>
      <c r="D56" s="14" t="s">
        <v>46</v>
      </c>
      <c r="E56" s="14" t="s">
        <v>1993</v>
      </c>
      <c r="F56" s="14">
        <v>649</v>
      </c>
      <c r="G56" s="15">
        <v>71.959999999999994</v>
      </c>
      <c r="H56" s="16">
        <v>45965</v>
      </c>
      <c r="I56" s="16">
        <v>46001</v>
      </c>
      <c r="J56" s="16">
        <v>46275</v>
      </c>
      <c r="K56" s="14" t="s">
        <v>2021</v>
      </c>
      <c r="L56" s="16">
        <f>IF(D56="Packaging","",IF(ISNUMBER(J56),J56,IF(ISNUMBER(I56),EDATE(I56,VLOOKUP(D56,Assumptions!$A$10:$B$16,2,0)),"")))</f>
        <v>46275</v>
      </c>
      <c r="M56" s="14">
        <f>IF(ISNUMBER(L56),L56-Assumptions!$B$5,"")</f>
        <v>253</v>
      </c>
      <c r="N56" s="17">
        <f t="shared" si="0"/>
        <v>0</v>
      </c>
      <c r="O56" s="14">
        <f>IF(COUNTIF(Assumptions!$A$25:$A$27,A56)&gt;0,1,0)</f>
        <v>0</v>
      </c>
      <c r="P56" s="14">
        <f>IF(COUNTIF(Assumptions!$B$25:$B$26,A56)&gt;0,1,0)</f>
        <v>0</v>
      </c>
      <c r="Q56" s="14">
        <f>IF(COUNTIF(Assumptions!$C$25:$C$25,A56)&gt;0,1,0)</f>
        <v>0</v>
      </c>
      <c r="R56" s="17">
        <f t="shared" si="1"/>
        <v>0</v>
      </c>
      <c r="S56" s="15" t="str">
        <f>IFERROR(VLOOKUP(A56,Assumptions!$A$31:$B$33,2,0),"")</f>
        <v/>
      </c>
      <c r="T56" s="15">
        <f t="shared" si="2"/>
        <v>71.959999999999994</v>
      </c>
      <c r="U56" s="15">
        <f t="shared" si="3"/>
        <v>46702.039999999994</v>
      </c>
      <c r="V56" s="15">
        <f t="shared" si="4"/>
        <v>46702.039999999994</v>
      </c>
      <c r="W56" s="15">
        <f t="shared" si="5"/>
        <v>0</v>
      </c>
    </row>
    <row r="57" spans="1:23" ht="15" customHeight="1" x14ac:dyDescent="0.2">
      <c r="A57" s="14" t="s">
        <v>2111</v>
      </c>
      <c r="B57" s="14" t="s">
        <v>2112</v>
      </c>
      <c r="C57" s="14" t="s">
        <v>2027</v>
      </c>
      <c r="D57" s="14" t="s">
        <v>44</v>
      </c>
      <c r="E57" s="14" t="s">
        <v>2014</v>
      </c>
      <c r="F57" s="14">
        <v>1259</v>
      </c>
      <c r="G57" s="15">
        <v>190.73</v>
      </c>
      <c r="H57" s="16">
        <v>46005</v>
      </c>
      <c r="I57" s="16">
        <v>45997</v>
      </c>
      <c r="J57" s="16">
        <v>46544</v>
      </c>
      <c r="K57" s="14" t="s">
        <v>2030</v>
      </c>
      <c r="L57" s="16">
        <f>IF(D57="Packaging","",IF(ISNUMBER(J57),J57,IF(ISNUMBER(I57),EDATE(I57,VLOOKUP(D57,Assumptions!$A$10:$B$16,2,0)),"")))</f>
        <v>46544</v>
      </c>
      <c r="M57" s="14">
        <f>IF(ISNUMBER(L57),L57-Assumptions!$B$5,"")</f>
        <v>522</v>
      </c>
      <c r="N57" s="17">
        <f t="shared" si="0"/>
        <v>0</v>
      </c>
      <c r="O57" s="14">
        <f>IF(COUNTIF(Assumptions!$A$25:$A$27,A57)&gt;0,1,0)</f>
        <v>0</v>
      </c>
      <c r="P57" s="14">
        <f>IF(COUNTIF(Assumptions!$B$25:$B$26,A57)&gt;0,1,0)</f>
        <v>0</v>
      </c>
      <c r="Q57" s="14">
        <f>IF(COUNTIF(Assumptions!$C$25:$C$25,A57)&gt;0,1,0)</f>
        <v>0</v>
      </c>
      <c r="R57" s="17">
        <f t="shared" si="1"/>
        <v>0</v>
      </c>
      <c r="S57" s="15" t="str">
        <f>IFERROR(VLOOKUP(A57,Assumptions!$A$31:$B$33,2,0),"")</f>
        <v/>
      </c>
      <c r="T57" s="15">
        <f t="shared" si="2"/>
        <v>190.73</v>
      </c>
      <c r="U57" s="15">
        <f t="shared" si="3"/>
        <v>240129.06999999998</v>
      </c>
      <c r="V57" s="15">
        <f t="shared" si="4"/>
        <v>240129.06999999998</v>
      </c>
      <c r="W57" s="15">
        <f t="shared" si="5"/>
        <v>0</v>
      </c>
    </row>
    <row r="58" spans="1:23" ht="15" customHeight="1" x14ac:dyDescent="0.2">
      <c r="A58" s="14" t="s">
        <v>2113</v>
      </c>
      <c r="B58" s="14" t="s">
        <v>2114</v>
      </c>
      <c r="C58" s="14" t="s">
        <v>2036</v>
      </c>
      <c r="D58" s="14" t="s">
        <v>45</v>
      </c>
      <c r="E58" s="14" t="s">
        <v>1988</v>
      </c>
      <c r="F58" s="14">
        <v>2107</v>
      </c>
      <c r="G58" s="15">
        <v>87.8</v>
      </c>
      <c r="H58" s="16">
        <v>45987</v>
      </c>
      <c r="I58" s="16">
        <v>46199</v>
      </c>
      <c r="J58" s="16">
        <v>46382</v>
      </c>
      <c r="K58" s="14" t="s">
        <v>2021</v>
      </c>
      <c r="L58" s="16">
        <f>IF(D58="Packaging","",IF(ISNUMBER(J58),J58,IF(ISNUMBER(I58),EDATE(I58,VLOOKUP(D58,Assumptions!$A$10:$B$16,2,0)),"")))</f>
        <v>46382</v>
      </c>
      <c r="M58" s="14">
        <f>IF(ISNUMBER(L58),L58-Assumptions!$B$5,"")</f>
        <v>360</v>
      </c>
      <c r="N58" s="17">
        <f t="shared" si="0"/>
        <v>0</v>
      </c>
      <c r="O58" s="14">
        <f>IF(COUNTIF(Assumptions!$A$25:$A$27,A58)&gt;0,1,0)</f>
        <v>0</v>
      </c>
      <c r="P58" s="14">
        <f>IF(COUNTIF(Assumptions!$B$25:$B$26,A58)&gt;0,1,0)</f>
        <v>0</v>
      </c>
      <c r="Q58" s="14">
        <f>IF(COUNTIF(Assumptions!$C$25:$C$25,A58)&gt;0,1,0)</f>
        <v>0</v>
      </c>
      <c r="R58" s="17">
        <f t="shared" si="1"/>
        <v>0</v>
      </c>
      <c r="S58" s="15" t="str">
        <f>IFERROR(VLOOKUP(A58,Assumptions!$A$31:$B$33,2,0),"")</f>
        <v/>
      </c>
      <c r="T58" s="15">
        <f t="shared" si="2"/>
        <v>87.8</v>
      </c>
      <c r="U58" s="15">
        <f t="shared" si="3"/>
        <v>184994.6</v>
      </c>
      <c r="V58" s="15">
        <f t="shared" si="4"/>
        <v>184994.6</v>
      </c>
      <c r="W58" s="15">
        <f t="shared" si="5"/>
        <v>0</v>
      </c>
    </row>
    <row r="59" spans="1:23" ht="15" customHeight="1" x14ac:dyDescent="0.2">
      <c r="A59" s="14" t="s">
        <v>2115</v>
      </c>
      <c r="B59" s="14" t="s">
        <v>2116</v>
      </c>
      <c r="C59" s="14" t="s">
        <v>2089</v>
      </c>
      <c r="D59" s="14" t="s">
        <v>46</v>
      </c>
      <c r="E59" s="14" t="s">
        <v>2037</v>
      </c>
      <c r="F59" s="14">
        <v>3479</v>
      </c>
      <c r="G59" s="15">
        <v>164.61</v>
      </c>
      <c r="H59" s="16">
        <v>46008</v>
      </c>
      <c r="I59" s="16">
        <v>46213</v>
      </c>
      <c r="J59" s="16">
        <v>46487</v>
      </c>
      <c r="K59" s="14" t="s">
        <v>2004</v>
      </c>
      <c r="L59" s="16">
        <f>IF(D59="Packaging","",IF(ISNUMBER(J59),J59,IF(ISNUMBER(I59),EDATE(I59,VLOOKUP(D59,Assumptions!$A$10:$B$16,2,0)),"")))</f>
        <v>46487</v>
      </c>
      <c r="M59" s="14">
        <f>IF(ISNUMBER(L59),L59-Assumptions!$B$5,"")</f>
        <v>465</v>
      </c>
      <c r="N59" s="17">
        <f t="shared" si="0"/>
        <v>0</v>
      </c>
      <c r="O59" s="14">
        <f>IF(COUNTIF(Assumptions!$A$25:$A$27,A59)&gt;0,1,0)</f>
        <v>0</v>
      </c>
      <c r="P59" s="14">
        <f>IF(COUNTIF(Assumptions!$B$25:$B$26,A59)&gt;0,1,0)</f>
        <v>0</v>
      </c>
      <c r="Q59" s="14">
        <f>IF(COUNTIF(Assumptions!$C$25:$C$25,A59)&gt;0,1,0)</f>
        <v>0</v>
      </c>
      <c r="R59" s="17">
        <f t="shared" si="1"/>
        <v>0</v>
      </c>
      <c r="S59" s="15" t="str">
        <f>IFERROR(VLOOKUP(A59,Assumptions!$A$31:$B$33,2,0),"")</f>
        <v/>
      </c>
      <c r="T59" s="15">
        <f t="shared" si="2"/>
        <v>164.61</v>
      </c>
      <c r="U59" s="15">
        <f t="shared" si="3"/>
        <v>572678.19000000006</v>
      </c>
      <c r="V59" s="15">
        <f t="shared" si="4"/>
        <v>572678.19000000006</v>
      </c>
      <c r="W59" s="15">
        <f t="shared" si="5"/>
        <v>0</v>
      </c>
    </row>
    <row r="60" spans="1:23" ht="15" customHeight="1" x14ac:dyDescent="0.2">
      <c r="A60" s="14" t="s">
        <v>2117</v>
      </c>
      <c r="B60" s="14" t="s">
        <v>2118</v>
      </c>
      <c r="C60" s="14" t="s">
        <v>2101</v>
      </c>
      <c r="D60" s="14" t="s">
        <v>46</v>
      </c>
      <c r="E60" s="14" t="s">
        <v>2014</v>
      </c>
      <c r="F60" s="14">
        <v>4217</v>
      </c>
      <c r="G60" s="15">
        <v>309.37</v>
      </c>
      <c r="H60" s="16">
        <v>45987</v>
      </c>
      <c r="I60" s="16">
        <v>46099</v>
      </c>
      <c r="J60" s="16">
        <v>46374</v>
      </c>
      <c r="K60" s="14" t="s">
        <v>2021</v>
      </c>
      <c r="L60" s="16">
        <f>IF(D60="Packaging","",IF(ISNUMBER(J60),J60,IF(ISNUMBER(I60),EDATE(I60,VLOOKUP(D60,Assumptions!$A$10:$B$16,2,0)),"")))</f>
        <v>46374</v>
      </c>
      <c r="M60" s="14">
        <f>IF(ISNUMBER(L60),L60-Assumptions!$B$5,"")</f>
        <v>352</v>
      </c>
      <c r="N60" s="17">
        <f t="shared" si="0"/>
        <v>0</v>
      </c>
      <c r="O60" s="14">
        <f>IF(COUNTIF(Assumptions!$A$25:$A$27,A60)&gt;0,1,0)</f>
        <v>0</v>
      </c>
      <c r="P60" s="14">
        <f>IF(COUNTIF(Assumptions!$B$25:$B$26,A60)&gt;0,1,0)</f>
        <v>0</v>
      </c>
      <c r="Q60" s="14">
        <f>IF(COUNTIF(Assumptions!$C$25:$C$25,A60)&gt;0,1,0)</f>
        <v>0</v>
      </c>
      <c r="R60" s="17">
        <f t="shared" si="1"/>
        <v>0</v>
      </c>
      <c r="S60" s="15" t="str">
        <f>IFERROR(VLOOKUP(A60,Assumptions!$A$31:$B$33,2,0),"")</f>
        <v/>
      </c>
      <c r="T60" s="15">
        <f t="shared" si="2"/>
        <v>309.37</v>
      </c>
      <c r="U60" s="15">
        <f t="shared" si="3"/>
        <v>1304613.29</v>
      </c>
      <c r="V60" s="15">
        <f t="shared" si="4"/>
        <v>1304613.29</v>
      </c>
      <c r="W60" s="15">
        <f t="shared" si="5"/>
        <v>0</v>
      </c>
    </row>
    <row r="61" spans="1:23" ht="15" customHeight="1" x14ac:dyDescent="0.2">
      <c r="A61" s="14" t="s">
        <v>190</v>
      </c>
      <c r="B61" s="14" t="s">
        <v>189</v>
      </c>
      <c r="C61" s="14" t="s">
        <v>2119</v>
      </c>
      <c r="D61" s="14" t="s">
        <v>39</v>
      </c>
      <c r="E61" s="14" t="s">
        <v>1988</v>
      </c>
      <c r="F61" s="14">
        <v>4119</v>
      </c>
      <c r="G61" s="15">
        <v>227.66</v>
      </c>
      <c r="H61" s="16">
        <v>45237</v>
      </c>
      <c r="I61" s="16">
        <v>45224</v>
      </c>
      <c r="J61" s="16">
        <v>46320</v>
      </c>
      <c r="K61" s="14" t="s">
        <v>2021</v>
      </c>
      <c r="L61" s="16">
        <f>IF(D61="Packaging","",IF(ISNUMBER(J61),J61,IF(ISNUMBER(I61),EDATE(I61,VLOOKUP(D61,Assumptions!$A$10:$B$16,2,0)),"")))</f>
        <v>46320</v>
      </c>
      <c r="M61" s="14">
        <f>IF(ISNUMBER(L61),L61-Assumptions!$B$5,"")</f>
        <v>298</v>
      </c>
      <c r="N61" s="17">
        <f t="shared" si="0"/>
        <v>0</v>
      </c>
      <c r="O61" s="14">
        <f>IF(COUNTIF(Assumptions!$A$25:$A$27,A61)&gt;0,1,0)</f>
        <v>0</v>
      </c>
      <c r="P61" s="14">
        <f>IF(COUNTIF(Assumptions!$B$25:$B$26,A61)&gt;0,1,0)</f>
        <v>0</v>
      </c>
      <c r="Q61" s="14">
        <f>IF(COUNTIF(Assumptions!$C$25:$C$25,A61)&gt;0,1,0)</f>
        <v>0</v>
      </c>
      <c r="R61" s="17">
        <f t="shared" si="1"/>
        <v>0</v>
      </c>
      <c r="S61" s="15" t="str">
        <f>IFERROR(VLOOKUP(A61,Assumptions!$A$31:$B$33,2,0),"")</f>
        <v/>
      </c>
      <c r="T61" s="15">
        <f t="shared" si="2"/>
        <v>227.66</v>
      </c>
      <c r="U61" s="15">
        <f t="shared" si="3"/>
        <v>937731.54</v>
      </c>
      <c r="V61" s="15">
        <f t="shared" si="4"/>
        <v>937731.54</v>
      </c>
      <c r="W61" s="15">
        <f t="shared" si="5"/>
        <v>0</v>
      </c>
    </row>
    <row r="62" spans="1:23" ht="15" customHeight="1" x14ac:dyDescent="0.2">
      <c r="A62" s="14" t="s">
        <v>2120</v>
      </c>
      <c r="B62" s="14" t="s">
        <v>2121</v>
      </c>
      <c r="C62" s="14" t="s">
        <v>2101</v>
      </c>
      <c r="D62" s="14" t="s">
        <v>46</v>
      </c>
      <c r="E62" s="14" t="s">
        <v>2037</v>
      </c>
      <c r="F62" s="14">
        <v>2432</v>
      </c>
      <c r="G62" s="15">
        <v>40.880000000000003</v>
      </c>
      <c r="H62" s="16">
        <v>45993</v>
      </c>
      <c r="I62" s="16">
        <v>46213</v>
      </c>
      <c r="J62" s="16"/>
      <c r="K62" s="14" t="s">
        <v>2004</v>
      </c>
      <c r="L62" s="16">
        <f>IF(D62="Packaging","",IF(ISNUMBER(J62),J62,IF(ISNUMBER(I62),EDATE(I62,VLOOKUP(D62,Assumptions!$A$10:$B$16,2,0)),"")))</f>
        <v>46487</v>
      </c>
      <c r="M62" s="14">
        <f>IF(ISNUMBER(L62),L62-Assumptions!$B$5,"")</f>
        <v>465</v>
      </c>
      <c r="N62" s="17">
        <f t="shared" si="0"/>
        <v>0</v>
      </c>
      <c r="O62" s="14">
        <f>IF(COUNTIF(Assumptions!$A$25:$A$27,A62)&gt;0,1,0)</f>
        <v>0</v>
      </c>
      <c r="P62" s="14">
        <f>IF(COUNTIF(Assumptions!$B$25:$B$26,A62)&gt;0,1,0)</f>
        <v>0</v>
      </c>
      <c r="Q62" s="14">
        <f>IF(COUNTIF(Assumptions!$C$25:$C$25,A62)&gt;0,1,0)</f>
        <v>0</v>
      </c>
      <c r="R62" s="17">
        <f t="shared" si="1"/>
        <v>0</v>
      </c>
      <c r="S62" s="15" t="str">
        <f>IFERROR(VLOOKUP(A62,Assumptions!$A$31:$B$33,2,0),"")</f>
        <v/>
      </c>
      <c r="T62" s="15">
        <f t="shared" si="2"/>
        <v>40.880000000000003</v>
      </c>
      <c r="U62" s="15">
        <f t="shared" si="3"/>
        <v>99420.160000000003</v>
      </c>
      <c r="V62" s="15">
        <f t="shared" si="4"/>
        <v>99420.160000000003</v>
      </c>
      <c r="W62" s="15">
        <f t="shared" si="5"/>
        <v>0</v>
      </c>
    </row>
    <row r="63" spans="1:23" ht="15" customHeight="1" x14ac:dyDescent="0.2">
      <c r="A63" s="14" t="s">
        <v>135</v>
      </c>
      <c r="B63" s="14" t="s">
        <v>134</v>
      </c>
      <c r="C63" s="14" t="s">
        <v>2104</v>
      </c>
      <c r="D63" s="14" t="s">
        <v>36</v>
      </c>
      <c r="E63" s="14" t="s">
        <v>1988</v>
      </c>
      <c r="F63" s="14">
        <v>2131</v>
      </c>
      <c r="G63" s="15">
        <v>261.76</v>
      </c>
      <c r="H63" s="16">
        <v>45544</v>
      </c>
      <c r="I63" s="16">
        <v>45530</v>
      </c>
      <c r="J63" s="16">
        <v>46260</v>
      </c>
      <c r="K63" s="14" t="s">
        <v>1989</v>
      </c>
      <c r="L63" s="16">
        <f>IF(D63="Packaging","",IF(ISNUMBER(J63),J63,IF(ISNUMBER(I63),EDATE(I63,VLOOKUP(D63,Assumptions!$A$10:$B$16,2,0)),"")))</f>
        <v>46260</v>
      </c>
      <c r="M63" s="14">
        <f>IF(ISNUMBER(L63),L63-Assumptions!$B$5,"")</f>
        <v>238</v>
      </c>
      <c r="N63" s="17">
        <f t="shared" si="0"/>
        <v>0</v>
      </c>
      <c r="O63" s="14">
        <f>IF(COUNTIF(Assumptions!$A$25:$A$27,A63)&gt;0,1,0)</f>
        <v>0</v>
      </c>
      <c r="P63" s="14">
        <f>IF(COUNTIF(Assumptions!$B$25:$B$26,A63)&gt;0,1,0)</f>
        <v>0</v>
      </c>
      <c r="Q63" s="14">
        <f>IF(COUNTIF(Assumptions!$C$25:$C$25,A63)&gt;0,1,0)</f>
        <v>0</v>
      </c>
      <c r="R63" s="17">
        <f t="shared" si="1"/>
        <v>0</v>
      </c>
      <c r="S63" s="15" t="str">
        <f>IFERROR(VLOOKUP(A63,Assumptions!$A$31:$B$33,2,0),"")</f>
        <v/>
      </c>
      <c r="T63" s="15">
        <f t="shared" si="2"/>
        <v>261.76</v>
      </c>
      <c r="U63" s="15">
        <f t="shared" si="3"/>
        <v>557810.55999999994</v>
      </c>
      <c r="V63" s="15">
        <f t="shared" si="4"/>
        <v>557810.55999999994</v>
      </c>
      <c r="W63" s="15">
        <f t="shared" si="5"/>
        <v>0</v>
      </c>
    </row>
    <row r="64" spans="1:23" ht="15" customHeight="1" x14ac:dyDescent="0.2">
      <c r="A64" s="14" t="s">
        <v>2122</v>
      </c>
      <c r="B64" s="14" t="s">
        <v>2123</v>
      </c>
      <c r="C64" s="14" t="s">
        <v>1987</v>
      </c>
      <c r="D64" s="14" t="s">
        <v>36</v>
      </c>
      <c r="E64" s="14" t="s">
        <v>2037</v>
      </c>
      <c r="F64" s="14">
        <v>2668</v>
      </c>
      <c r="G64" s="15">
        <v>122.06</v>
      </c>
      <c r="H64" s="16">
        <v>45999</v>
      </c>
      <c r="I64" s="16">
        <v>46020</v>
      </c>
      <c r="J64" s="16">
        <v>46750</v>
      </c>
      <c r="K64" s="14" t="s">
        <v>2021</v>
      </c>
      <c r="L64" s="16">
        <f>IF(D64="Packaging","",IF(ISNUMBER(J64),J64,IF(ISNUMBER(I64),EDATE(I64,VLOOKUP(D64,Assumptions!$A$10:$B$16,2,0)),"")))</f>
        <v>46750</v>
      </c>
      <c r="M64" s="14">
        <f>IF(ISNUMBER(L64),L64-Assumptions!$B$5,"")</f>
        <v>728</v>
      </c>
      <c r="N64" s="17">
        <f t="shared" si="0"/>
        <v>0</v>
      </c>
      <c r="O64" s="14">
        <f>IF(COUNTIF(Assumptions!$A$25:$A$27,A64)&gt;0,1,0)</f>
        <v>0</v>
      </c>
      <c r="P64" s="14">
        <f>IF(COUNTIF(Assumptions!$B$25:$B$26,A64)&gt;0,1,0)</f>
        <v>0</v>
      </c>
      <c r="Q64" s="14">
        <f>IF(COUNTIF(Assumptions!$C$25:$C$25,A64)&gt;0,1,0)</f>
        <v>0</v>
      </c>
      <c r="R64" s="17">
        <f t="shared" si="1"/>
        <v>0</v>
      </c>
      <c r="S64" s="15" t="str">
        <f>IFERROR(VLOOKUP(A64,Assumptions!$A$31:$B$33,2,0),"")</f>
        <v/>
      </c>
      <c r="T64" s="15">
        <f t="shared" si="2"/>
        <v>122.06</v>
      </c>
      <c r="U64" s="15">
        <f t="shared" si="3"/>
        <v>325656.08</v>
      </c>
      <c r="V64" s="15">
        <f t="shared" si="4"/>
        <v>325656.08</v>
      </c>
      <c r="W64" s="15">
        <f t="shared" si="5"/>
        <v>0</v>
      </c>
    </row>
    <row r="65" spans="1:23" ht="15" customHeight="1" x14ac:dyDescent="0.2">
      <c r="A65" s="14" t="s">
        <v>2124</v>
      </c>
      <c r="B65" s="14" t="s">
        <v>2125</v>
      </c>
      <c r="C65" s="14" t="s">
        <v>2094</v>
      </c>
      <c r="D65" s="14" t="s">
        <v>47</v>
      </c>
      <c r="E65" s="14" t="s">
        <v>1993</v>
      </c>
      <c r="F65" s="14">
        <v>3335</v>
      </c>
      <c r="G65" s="15">
        <v>69.08</v>
      </c>
      <c r="H65" s="16">
        <v>45906</v>
      </c>
      <c r="I65" s="16">
        <v>45854</v>
      </c>
      <c r="J65" s="16"/>
      <c r="K65" s="14" t="s">
        <v>1989</v>
      </c>
      <c r="L65" s="16" t="str">
        <f>IF(D65="Packaging","",IF(ISNUMBER(J65),J65,IF(ISNUMBER(I65),EDATE(I65,VLOOKUP(D65,Assumptions!$A$10:$B$16,2,0)),"")))</f>
        <v/>
      </c>
      <c r="M65" s="14" t="str">
        <f>IF(ISNUMBER(L65),L65-Assumptions!$B$5,"")</f>
        <v/>
      </c>
      <c r="N65" s="17">
        <f t="shared" si="0"/>
        <v>0</v>
      </c>
      <c r="O65" s="14">
        <f>IF(COUNTIF(Assumptions!$A$25:$A$27,A65)&gt;0,1,0)</f>
        <v>0</v>
      </c>
      <c r="P65" s="14">
        <f>IF(COUNTIF(Assumptions!$B$25:$B$26,A65)&gt;0,1,0)</f>
        <v>0</v>
      </c>
      <c r="Q65" s="14">
        <f>IF(COUNTIF(Assumptions!$C$25:$C$25,A65)&gt;0,1,0)</f>
        <v>0</v>
      </c>
      <c r="R65" s="17">
        <f t="shared" si="1"/>
        <v>0</v>
      </c>
      <c r="S65" s="15" t="str">
        <f>IFERROR(VLOOKUP(A65,Assumptions!$A$31:$B$33,2,0),"")</f>
        <v/>
      </c>
      <c r="T65" s="15">
        <f t="shared" si="2"/>
        <v>69.08</v>
      </c>
      <c r="U65" s="15">
        <f t="shared" si="3"/>
        <v>230381.8</v>
      </c>
      <c r="V65" s="15">
        <f t="shared" si="4"/>
        <v>230381.8</v>
      </c>
      <c r="W65" s="15">
        <f t="shared" si="5"/>
        <v>0</v>
      </c>
    </row>
    <row r="66" spans="1:23" ht="15" customHeight="1" x14ac:dyDescent="0.2">
      <c r="A66" s="14" t="s">
        <v>2126</v>
      </c>
      <c r="B66" s="14" t="s">
        <v>2127</v>
      </c>
      <c r="C66" s="14" t="s">
        <v>2027</v>
      </c>
      <c r="D66" s="14" t="s">
        <v>44</v>
      </c>
      <c r="E66" s="14" t="s">
        <v>1993</v>
      </c>
      <c r="F66" s="14">
        <v>1837</v>
      </c>
      <c r="G66" s="15">
        <v>8.1</v>
      </c>
      <c r="H66" s="16">
        <v>45985</v>
      </c>
      <c r="I66" s="16">
        <v>45946</v>
      </c>
      <c r="J66" s="16">
        <v>46493</v>
      </c>
      <c r="K66" s="14" t="s">
        <v>2004</v>
      </c>
      <c r="L66" s="16">
        <f>IF(D66="Packaging","",IF(ISNUMBER(J66),J66,IF(ISNUMBER(I66),EDATE(I66,VLOOKUP(D66,Assumptions!$A$10:$B$16,2,0)),"")))</f>
        <v>46493</v>
      </c>
      <c r="M66" s="14">
        <f>IF(ISNUMBER(L66),L66-Assumptions!$B$5,"")</f>
        <v>471</v>
      </c>
      <c r="N66" s="17">
        <f t="shared" ref="N66:N129" si="6">IF(D66="Packaging",0,IF(NOT(ISNUMBER(L66)),0,IF(M66&lt;0,1,IF(M66&lt;=90,0.5,IF(M66&lt;=180,0.25,0)))))</f>
        <v>0</v>
      </c>
      <c r="O66" s="14">
        <f>IF(COUNTIF(Assumptions!$A$25:$A$27,A66)&gt;0,1,0)</f>
        <v>0</v>
      </c>
      <c r="P66" s="14">
        <f>IF(COUNTIF(Assumptions!$B$25:$B$26,A66)&gt;0,1,0)</f>
        <v>0</v>
      </c>
      <c r="Q66" s="14">
        <f>IF(COUNTIF(Assumptions!$C$25:$C$25,A66)&gt;0,1,0)</f>
        <v>0</v>
      </c>
      <c r="R66" s="17">
        <f t="shared" ref="R66:R129" si="7">IF(OR(O66=1,Q66=1),1,IF(P66=1,0.5,N66))</f>
        <v>0</v>
      </c>
      <c r="S66" s="15" t="str">
        <f>IFERROR(VLOOKUP(A66,Assumptions!$A$31:$B$33,2,0),"")</f>
        <v/>
      </c>
      <c r="T66" s="15">
        <f t="shared" ref="T66:T129" si="8">IF(S66="",G66,MIN(G66,S66))</f>
        <v>8.1</v>
      </c>
      <c r="U66" s="15">
        <f t="shared" ref="U66:U129" si="9">F66*G66</f>
        <v>14879.699999999999</v>
      </c>
      <c r="V66" s="15">
        <f t="shared" ref="V66:V129" si="10">F66*T66*(1-R66)</f>
        <v>14879.699999999999</v>
      </c>
      <c r="W66" s="15">
        <f t="shared" ref="W66:W129" si="11">U66-V66</f>
        <v>0</v>
      </c>
    </row>
    <row r="67" spans="1:23" ht="15" customHeight="1" x14ac:dyDescent="0.2">
      <c r="A67" s="14" t="s">
        <v>31</v>
      </c>
      <c r="B67" s="14" t="s">
        <v>2128</v>
      </c>
      <c r="C67" s="14" t="s">
        <v>1426</v>
      </c>
      <c r="D67" s="14" t="s">
        <v>44</v>
      </c>
      <c r="E67" s="14" t="s">
        <v>1988</v>
      </c>
      <c r="F67" s="14">
        <v>1456</v>
      </c>
      <c r="G67" s="15">
        <v>180.87</v>
      </c>
      <c r="H67" s="16">
        <v>45689</v>
      </c>
      <c r="I67" s="16"/>
      <c r="J67" s="16"/>
      <c r="K67" s="14" t="s">
        <v>2021</v>
      </c>
      <c r="L67" s="16" t="str">
        <f>IF(D67="Packaging","",IF(ISNUMBER(J67),J67,IF(ISNUMBER(I67),EDATE(I67,VLOOKUP(D67,Assumptions!$A$10:$B$16,2,0)),"")))</f>
        <v/>
      </c>
      <c r="M67" s="14" t="str">
        <f>IF(ISNUMBER(L67),L67-Assumptions!$B$5,"")</f>
        <v/>
      </c>
      <c r="N67" s="17">
        <f t="shared" si="6"/>
        <v>0</v>
      </c>
      <c r="O67" s="14">
        <f>IF(COUNTIF(Assumptions!$A$25:$A$27,A67)&gt;0,1,0)</f>
        <v>1</v>
      </c>
      <c r="P67" s="14">
        <f>IF(COUNTIF(Assumptions!$B$25:$B$26,A67)&gt;0,1,0)</f>
        <v>0</v>
      </c>
      <c r="Q67" s="14">
        <f>IF(COUNTIF(Assumptions!$C$25:$C$25,A67)&gt;0,1,0)</f>
        <v>0</v>
      </c>
      <c r="R67" s="17">
        <f t="shared" si="7"/>
        <v>1</v>
      </c>
      <c r="S67" s="15" t="str">
        <f>IFERROR(VLOOKUP(A67,Assumptions!$A$31:$B$33,2,0),"")</f>
        <v/>
      </c>
      <c r="T67" s="15">
        <f t="shared" si="8"/>
        <v>180.87</v>
      </c>
      <c r="U67" s="15">
        <f t="shared" si="9"/>
        <v>263346.72000000003</v>
      </c>
      <c r="V67" s="15">
        <f t="shared" si="10"/>
        <v>0</v>
      </c>
      <c r="W67" s="15">
        <f t="shared" si="11"/>
        <v>263346.72000000003</v>
      </c>
    </row>
    <row r="68" spans="1:23" ht="15" customHeight="1" x14ac:dyDescent="0.2">
      <c r="A68" s="14" t="s">
        <v>2129</v>
      </c>
      <c r="B68" s="14" t="s">
        <v>2130</v>
      </c>
      <c r="C68" s="14" t="s">
        <v>2003</v>
      </c>
      <c r="D68" s="14" t="s">
        <v>46</v>
      </c>
      <c r="E68" s="14" t="s">
        <v>1988</v>
      </c>
      <c r="F68" s="14">
        <v>2251</v>
      </c>
      <c r="G68" s="15">
        <v>167.16</v>
      </c>
      <c r="H68" s="16">
        <v>45974</v>
      </c>
      <c r="I68" s="16">
        <v>46020</v>
      </c>
      <c r="J68" s="16">
        <v>46294</v>
      </c>
      <c r="K68" s="14" t="s">
        <v>2015</v>
      </c>
      <c r="L68" s="16">
        <f>IF(D68="Packaging","",IF(ISNUMBER(J68),J68,IF(ISNUMBER(I68),EDATE(I68,VLOOKUP(D68,Assumptions!$A$10:$B$16,2,0)),"")))</f>
        <v>46294</v>
      </c>
      <c r="M68" s="14">
        <f>IF(ISNUMBER(L68),L68-Assumptions!$B$5,"")</f>
        <v>272</v>
      </c>
      <c r="N68" s="17">
        <f t="shared" si="6"/>
        <v>0</v>
      </c>
      <c r="O68" s="14">
        <f>IF(COUNTIF(Assumptions!$A$25:$A$27,A68)&gt;0,1,0)</f>
        <v>0</v>
      </c>
      <c r="P68" s="14">
        <f>IF(COUNTIF(Assumptions!$B$25:$B$26,A68)&gt;0,1,0)</f>
        <v>0</v>
      </c>
      <c r="Q68" s="14">
        <f>IF(COUNTIF(Assumptions!$C$25:$C$25,A68)&gt;0,1,0)</f>
        <v>0</v>
      </c>
      <c r="R68" s="17">
        <f t="shared" si="7"/>
        <v>0</v>
      </c>
      <c r="S68" s="15" t="str">
        <f>IFERROR(VLOOKUP(A68,Assumptions!$A$31:$B$33,2,0),"")</f>
        <v/>
      </c>
      <c r="T68" s="15">
        <f t="shared" si="8"/>
        <v>167.16</v>
      </c>
      <c r="U68" s="15">
        <f t="shared" si="9"/>
        <v>376277.16</v>
      </c>
      <c r="V68" s="15">
        <f t="shared" si="10"/>
        <v>376277.16</v>
      </c>
      <c r="W68" s="15">
        <f t="shared" si="11"/>
        <v>0</v>
      </c>
    </row>
    <row r="69" spans="1:23" ht="15" customHeight="1" x14ac:dyDescent="0.2">
      <c r="A69" s="14" t="s">
        <v>162</v>
      </c>
      <c r="B69" s="14" t="s">
        <v>161</v>
      </c>
      <c r="C69" s="14" t="s">
        <v>1987</v>
      </c>
      <c r="D69" s="14" t="s">
        <v>36</v>
      </c>
      <c r="E69" s="14" t="s">
        <v>2014</v>
      </c>
      <c r="F69" s="14">
        <v>408</v>
      </c>
      <c r="G69" s="15">
        <v>123.66</v>
      </c>
      <c r="H69" s="16">
        <v>45602</v>
      </c>
      <c r="I69" s="16">
        <v>45580</v>
      </c>
      <c r="J69" s="16">
        <v>46310</v>
      </c>
      <c r="K69" s="14" t="s">
        <v>2052</v>
      </c>
      <c r="L69" s="16">
        <f>IF(D69="Packaging","",IF(ISNUMBER(J69),J69,IF(ISNUMBER(I69),EDATE(I69,VLOOKUP(D69,Assumptions!$A$10:$B$16,2,0)),"")))</f>
        <v>46310</v>
      </c>
      <c r="M69" s="14">
        <f>IF(ISNUMBER(L69),L69-Assumptions!$B$5,"")</f>
        <v>288</v>
      </c>
      <c r="N69" s="17">
        <f t="shared" si="6"/>
        <v>0</v>
      </c>
      <c r="O69" s="14">
        <f>IF(COUNTIF(Assumptions!$A$25:$A$27,A69)&gt;0,1,0)</f>
        <v>0</v>
      </c>
      <c r="P69" s="14">
        <f>IF(COUNTIF(Assumptions!$B$25:$B$26,A69)&gt;0,1,0)</f>
        <v>0</v>
      </c>
      <c r="Q69" s="14">
        <f>IF(COUNTIF(Assumptions!$C$25:$C$25,A69)&gt;0,1,0)</f>
        <v>0</v>
      </c>
      <c r="R69" s="17">
        <f t="shared" si="7"/>
        <v>0</v>
      </c>
      <c r="S69" s="15" t="str">
        <f>IFERROR(VLOOKUP(A69,Assumptions!$A$31:$B$33,2,0),"")</f>
        <v/>
      </c>
      <c r="T69" s="15">
        <f t="shared" si="8"/>
        <v>123.66</v>
      </c>
      <c r="U69" s="15">
        <f t="shared" si="9"/>
        <v>50453.279999999999</v>
      </c>
      <c r="V69" s="15">
        <f t="shared" si="10"/>
        <v>50453.279999999999</v>
      </c>
      <c r="W69" s="15">
        <f t="shared" si="11"/>
        <v>0</v>
      </c>
    </row>
    <row r="70" spans="1:23" ht="15" customHeight="1" x14ac:dyDescent="0.2">
      <c r="A70" s="14" t="s">
        <v>2131</v>
      </c>
      <c r="B70" s="14" t="s">
        <v>2132</v>
      </c>
      <c r="C70" s="14" t="s">
        <v>2003</v>
      </c>
      <c r="D70" s="14" t="s">
        <v>46</v>
      </c>
      <c r="E70" s="14" t="s">
        <v>2014</v>
      </c>
      <c r="F70" s="14">
        <v>3922</v>
      </c>
      <c r="G70" s="15">
        <v>236.92</v>
      </c>
      <c r="H70" s="16">
        <v>45992</v>
      </c>
      <c r="I70" s="16">
        <v>46446</v>
      </c>
      <c r="J70" s="16">
        <v>46721</v>
      </c>
      <c r="K70" s="14" t="s">
        <v>2052</v>
      </c>
      <c r="L70" s="16">
        <f>IF(D70="Packaging","",IF(ISNUMBER(J70),J70,IF(ISNUMBER(I70),EDATE(I70,VLOOKUP(D70,Assumptions!$A$10:$B$16,2,0)),"")))</f>
        <v>46721</v>
      </c>
      <c r="M70" s="14">
        <f>IF(ISNUMBER(L70),L70-Assumptions!$B$5,"")</f>
        <v>699</v>
      </c>
      <c r="N70" s="17">
        <f t="shared" si="6"/>
        <v>0</v>
      </c>
      <c r="O70" s="14">
        <f>IF(COUNTIF(Assumptions!$A$25:$A$27,A70)&gt;0,1,0)</f>
        <v>0</v>
      </c>
      <c r="P70" s="14">
        <f>IF(COUNTIF(Assumptions!$B$25:$B$26,A70)&gt;0,1,0)</f>
        <v>0</v>
      </c>
      <c r="Q70" s="14">
        <f>IF(COUNTIF(Assumptions!$C$25:$C$25,A70)&gt;0,1,0)</f>
        <v>0</v>
      </c>
      <c r="R70" s="17">
        <f t="shared" si="7"/>
        <v>0</v>
      </c>
      <c r="S70" s="15" t="str">
        <f>IFERROR(VLOOKUP(A70,Assumptions!$A$31:$B$33,2,0),"")</f>
        <v/>
      </c>
      <c r="T70" s="15">
        <f t="shared" si="8"/>
        <v>236.92</v>
      </c>
      <c r="U70" s="15">
        <f t="shared" si="9"/>
        <v>929200.24</v>
      </c>
      <c r="V70" s="15">
        <f t="shared" si="10"/>
        <v>929200.24</v>
      </c>
      <c r="W70" s="15">
        <f t="shared" si="11"/>
        <v>0</v>
      </c>
    </row>
    <row r="71" spans="1:23" ht="15" customHeight="1" x14ac:dyDescent="0.2">
      <c r="A71" s="14" t="s">
        <v>172</v>
      </c>
      <c r="B71" s="14" t="s">
        <v>171</v>
      </c>
      <c r="C71" s="14" t="s">
        <v>1435</v>
      </c>
      <c r="D71" s="14" t="s">
        <v>36</v>
      </c>
      <c r="E71" s="14" t="s">
        <v>1988</v>
      </c>
      <c r="F71" s="14">
        <v>82</v>
      </c>
      <c r="G71" s="15">
        <v>101.2</v>
      </c>
      <c r="H71" s="16">
        <v>45639</v>
      </c>
      <c r="I71" s="16">
        <v>45633</v>
      </c>
      <c r="J71" s="16">
        <v>46363</v>
      </c>
      <c r="K71" s="14" t="s">
        <v>2052</v>
      </c>
      <c r="L71" s="16">
        <f>IF(D71="Packaging","",IF(ISNUMBER(J71),J71,IF(ISNUMBER(I71),EDATE(I71,VLOOKUP(D71,Assumptions!$A$10:$B$16,2,0)),"")))</f>
        <v>46363</v>
      </c>
      <c r="M71" s="14">
        <f>IF(ISNUMBER(L71),L71-Assumptions!$B$5,"")</f>
        <v>341</v>
      </c>
      <c r="N71" s="17">
        <f t="shared" si="6"/>
        <v>0</v>
      </c>
      <c r="O71" s="14">
        <f>IF(COUNTIF(Assumptions!$A$25:$A$27,A71)&gt;0,1,0)</f>
        <v>0</v>
      </c>
      <c r="P71" s="14">
        <f>IF(COUNTIF(Assumptions!$B$25:$B$26,A71)&gt;0,1,0)</f>
        <v>0</v>
      </c>
      <c r="Q71" s="14">
        <f>IF(COUNTIF(Assumptions!$C$25:$C$25,A71)&gt;0,1,0)</f>
        <v>0</v>
      </c>
      <c r="R71" s="17">
        <f t="shared" si="7"/>
        <v>0</v>
      </c>
      <c r="S71" s="15" t="str">
        <f>IFERROR(VLOOKUP(A71,Assumptions!$A$31:$B$33,2,0),"")</f>
        <v/>
      </c>
      <c r="T71" s="15">
        <f t="shared" si="8"/>
        <v>101.2</v>
      </c>
      <c r="U71" s="15">
        <f t="shared" si="9"/>
        <v>8298.4</v>
      </c>
      <c r="V71" s="15">
        <f t="shared" si="10"/>
        <v>8298.4</v>
      </c>
      <c r="W71" s="15">
        <f t="shared" si="11"/>
        <v>0</v>
      </c>
    </row>
    <row r="72" spans="1:23" ht="15" customHeight="1" x14ac:dyDescent="0.2">
      <c r="A72" s="14" t="s">
        <v>194</v>
      </c>
      <c r="B72" s="14" t="s">
        <v>193</v>
      </c>
      <c r="C72" s="14" t="s">
        <v>2119</v>
      </c>
      <c r="D72" s="14" t="s">
        <v>39</v>
      </c>
      <c r="E72" s="14" t="s">
        <v>2014</v>
      </c>
      <c r="F72" s="14">
        <v>3271</v>
      </c>
      <c r="G72" s="15">
        <v>380.88</v>
      </c>
      <c r="H72" s="16">
        <v>45200</v>
      </c>
      <c r="I72" s="16">
        <v>45173</v>
      </c>
      <c r="J72" s="16"/>
      <c r="K72" s="14" t="s">
        <v>2030</v>
      </c>
      <c r="L72" s="16">
        <f>IF(D72="Packaging","",IF(ISNUMBER(J72),J72,IF(ISNUMBER(I72),EDATE(I72,VLOOKUP(D72,Assumptions!$A$10:$B$16,2,0)),"")))</f>
        <v>46269</v>
      </c>
      <c r="M72" s="14">
        <f>IF(ISNUMBER(L72),L72-Assumptions!$B$5,"")</f>
        <v>247</v>
      </c>
      <c r="N72" s="17">
        <f t="shared" si="6"/>
        <v>0</v>
      </c>
      <c r="O72" s="14">
        <f>IF(COUNTIF(Assumptions!$A$25:$A$27,A72)&gt;0,1,0)</f>
        <v>0</v>
      </c>
      <c r="P72" s="14">
        <f>IF(COUNTIF(Assumptions!$B$25:$B$26,A72)&gt;0,1,0)</f>
        <v>0</v>
      </c>
      <c r="Q72" s="14">
        <f>IF(COUNTIF(Assumptions!$C$25:$C$25,A72)&gt;0,1,0)</f>
        <v>0</v>
      </c>
      <c r="R72" s="17">
        <f t="shared" si="7"/>
        <v>0</v>
      </c>
      <c r="S72" s="15" t="str">
        <f>IFERROR(VLOOKUP(A72,Assumptions!$A$31:$B$33,2,0),"")</f>
        <v/>
      </c>
      <c r="T72" s="15">
        <f t="shared" si="8"/>
        <v>380.88</v>
      </c>
      <c r="U72" s="15">
        <f t="shared" si="9"/>
        <v>1245858.48</v>
      </c>
      <c r="V72" s="15">
        <f t="shared" si="10"/>
        <v>1245858.48</v>
      </c>
      <c r="W72" s="15">
        <f t="shared" si="11"/>
        <v>0</v>
      </c>
    </row>
    <row r="73" spans="1:23" ht="15" customHeight="1" x14ac:dyDescent="0.2">
      <c r="A73" s="14" t="s">
        <v>2133</v>
      </c>
      <c r="B73" s="14" t="s">
        <v>2134</v>
      </c>
      <c r="C73" s="14" t="s">
        <v>2027</v>
      </c>
      <c r="D73" s="14" t="s">
        <v>44</v>
      </c>
      <c r="E73" s="14" t="s">
        <v>1993</v>
      </c>
      <c r="F73" s="14">
        <v>4598</v>
      </c>
      <c r="G73" s="15">
        <v>336.59</v>
      </c>
      <c r="H73" s="16">
        <v>45391</v>
      </c>
      <c r="I73" s="16">
        <v>45333</v>
      </c>
      <c r="J73" s="16">
        <v>45880</v>
      </c>
      <c r="K73" s="14" t="s">
        <v>1989</v>
      </c>
      <c r="L73" s="16">
        <f>IF(D73="Packaging","",IF(ISNUMBER(J73),J73,IF(ISNUMBER(I73),EDATE(I73,VLOOKUP(D73,Assumptions!$A$10:$B$16,2,0)),"")))</f>
        <v>45880</v>
      </c>
      <c r="M73" s="14">
        <f>IF(ISNUMBER(L73),L73-Assumptions!$B$5,"")</f>
        <v>-142</v>
      </c>
      <c r="N73" s="17">
        <f t="shared" si="6"/>
        <v>1</v>
      </c>
      <c r="O73" s="14">
        <f>IF(COUNTIF(Assumptions!$A$25:$A$27,A73)&gt;0,1,0)</f>
        <v>0</v>
      </c>
      <c r="P73" s="14">
        <f>IF(COUNTIF(Assumptions!$B$25:$B$26,A73)&gt;0,1,0)</f>
        <v>0</v>
      </c>
      <c r="Q73" s="14">
        <f>IF(COUNTIF(Assumptions!$C$25:$C$25,A73)&gt;0,1,0)</f>
        <v>0</v>
      </c>
      <c r="R73" s="17">
        <f t="shared" si="7"/>
        <v>1</v>
      </c>
      <c r="S73" s="15" t="str">
        <f>IFERROR(VLOOKUP(A73,Assumptions!$A$31:$B$33,2,0),"")</f>
        <v/>
      </c>
      <c r="T73" s="15">
        <f t="shared" si="8"/>
        <v>336.59</v>
      </c>
      <c r="U73" s="15">
        <f t="shared" si="9"/>
        <v>1547640.8199999998</v>
      </c>
      <c r="V73" s="15">
        <f t="shared" si="10"/>
        <v>0</v>
      </c>
      <c r="W73" s="15">
        <f t="shared" si="11"/>
        <v>1547640.8199999998</v>
      </c>
    </row>
    <row r="74" spans="1:23" ht="15" customHeight="1" x14ac:dyDescent="0.2">
      <c r="A74" s="14" t="s">
        <v>200</v>
      </c>
      <c r="B74" s="14" t="s">
        <v>199</v>
      </c>
      <c r="C74" s="14" t="s">
        <v>2104</v>
      </c>
      <c r="D74" s="14" t="s">
        <v>36</v>
      </c>
      <c r="E74" s="14" t="s">
        <v>1988</v>
      </c>
      <c r="F74" s="14">
        <v>2218</v>
      </c>
      <c r="G74" s="15">
        <v>378.14</v>
      </c>
      <c r="H74" s="16">
        <v>45681</v>
      </c>
      <c r="I74" s="16">
        <v>45638</v>
      </c>
      <c r="J74" s="16">
        <v>46368</v>
      </c>
      <c r="K74" s="14" t="s">
        <v>2030</v>
      </c>
      <c r="L74" s="16">
        <f>IF(D74="Packaging","",IF(ISNUMBER(J74),J74,IF(ISNUMBER(I74),EDATE(I74,VLOOKUP(D74,Assumptions!$A$10:$B$16,2,0)),"")))</f>
        <v>46368</v>
      </c>
      <c r="M74" s="14">
        <f>IF(ISNUMBER(L74),L74-Assumptions!$B$5,"")</f>
        <v>346</v>
      </c>
      <c r="N74" s="17">
        <f t="shared" si="6"/>
        <v>0</v>
      </c>
      <c r="O74" s="14">
        <f>IF(COUNTIF(Assumptions!$A$25:$A$27,A74)&gt;0,1,0)</f>
        <v>0</v>
      </c>
      <c r="P74" s="14">
        <f>IF(COUNTIF(Assumptions!$B$25:$B$26,A74)&gt;0,1,0)</f>
        <v>0</v>
      </c>
      <c r="Q74" s="14">
        <f>IF(COUNTIF(Assumptions!$C$25:$C$25,A74)&gt;0,1,0)</f>
        <v>0</v>
      </c>
      <c r="R74" s="17">
        <f t="shared" si="7"/>
        <v>0</v>
      </c>
      <c r="S74" s="15" t="str">
        <f>IFERROR(VLOOKUP(A74,Assumptions!$A$31:$B$33,2,0),"")</f>
        <v/>
      </c>
      <c r="T74" s="15">
        <f t="shared" si="8"/>
        <v>378.14</v>
      </c>
      <c r="U74" s="15">
        <f t="shared" si="9"/>
        <v>838714.52</v>
      </c>
      <c r="V74" s="15">
        <f t="shared" si="10"/>
        <v>838714.52</v>
      </c>
      <c r="W74" s="15">
        <f t="shared" si="11"/>
        <v>0</v>
      </c>
    </row>
    <row r="75" spans="1:23" ht="15" customHeight="1" x14ac:dyDescent="0.2">
      <c r="A75" s="14" t="s">
        <v>2135</v>
      </c>
      <c r="B75" s="14" t="s">
        <v>2136</v>
      </c>
      <c r="C75" s="14" t="s">
        <v>2137</v>
      </c>
      <c r="D75" s="14" t="s">
        <v>36</v>
      </c>
      <c r="E75" s="14" t="s">
        <v>2014</v>
      </c>
      <c r="F75" s="14">
        <v>4798</v>
      </c>
      <c r="G75" s="15">
        <v>376.22</v>
      </c>
      <c r="H75" s="16">
        <v>46011</v>
      </c>
      <c r="I75" s="16">
        <v>46107</v>
      </c>
      <c r="J75" s="16"/>
      <c r="K75" s="14" t="s">
        <v>2030</v>
      </c>
      <c r="L75" s="16">
        <f>IF(D75="Packaging","",IF(ISNUMBER(J75),J75,IF(ISNUMBER(I75),EDATE(I75,VLOOKUP(D75,Assumptions!$A$10:$B$16,2,0)),"")))</f>
        <v>46838</v>
      </c>
      <c r="M75" s="14">
        <f>IF(ISNUMBER(L75),L75-Assumptions!$B$5,"")</f>
        <v>816</v>
      </c>
      <c r="N75" s="17">
        <f t="shared" si="6"/>
        <v>0</v>
      </c>
      <c r="O75" s="14">
        <f>IF(COUNTIF(Assumptions!$A$25:$A$27,A75)&gt;0,1,0)</f>
        <v>0</v>
      </c>
      <c r="P75" s="14">
        <f>IF(COUNTIF(Assumptions!$B$25:$B$26,A75)&gt;0,1,0)</f>
        <v>0</v>
      </c>
      <c r="Q75" s="14">
        <f>IF(COUNTIF(Assumptions!$C$25:$C$25,A75)&gt;0,1,0)</f>
        <v>0</v>
      </c>
      <c r="R75" s="17">
        <f t="shared" si="7"/>
        <v>0</v>
      </c>
      <c r="S75" s="15" t="str">
        <f>IFERROR(VLOOKUP(A75,Assumptions!$A$31:$B$33,2,0),"")</f>
        <v/>
      </c>
      <c r="T75" s="15">
        <f t="shared" si="8"/>
        <v>376.22</v>
      </c>
      <c r="U75" s="15">
        <f t="shared" si="9"/>
        <v>1805103.56</v>
      </c>
      <c r="V75" s="15">
        <f t="shared" si="10"/>
        <v>1805103.56</v>
      </c>
      <c r="W75" s="15">
        <f t="shared" si="11"/>
        <v>0</v>
      </c>
    </row>
    <row r="76" spans="1:23" ht="15" customHeight="1" x14ac:dyDescent="0.2">
      <c r="A76" s="14" t="s">
        <v>2138</v>
      </c>
      <c r="B76" s="14" t="s">
        <v>2139</v>
      </c>
      <c r="C76" s="14" t="s">
        <v>2013</v>
      </c>
      <c r="D76" s="14" t="s">
        <v>44</v>
      </c>
      <c r="E76" s="14" t="s">
        <v>2037</v>
      </c>
      <c r="F76" s="14">
        <v>3234</v>
      </c>
      <c r="G76" s="15">
        <v>12.53</v>
      </c>
      <c r="H76" s="16">
        <v>46011</v>
      </c>
      <c r="I76" s="16">
        <v>46131</v>
      </c>
      <c r="J76" s="16">
        <v>46679</v>
      </c>
      <c r="K76" s="14" t="s">
        <v>2052</v>
      </c>
      <c r="L76" s="16">
        <f>IF(D76="Packaging","",IF(ISNUMBER(J76),J76,IF(ISNUMBER(I76),EDATE(I76,VLOOKUP(D76,Assumptions!$A$10:$B$16,2,0)),"")))</f>
        <v>46679</v>
      </c>
      <c r="M76" s="14">
        <f>IF(ISNUMBER(L76),L76-Assumptions!$B$5,"")</f>
        <v>657</v>
      </c>
      <c r="N76" s="17">
        <f t="shared" si="6"/>
        <v>0</v>
      </c>
      <c r="O76" s="14">
        <f>IF(COUNTIF(Assumptions!$A$25:$A$27,A76)&gt;0,1,0)</f>
        <v>0</v>
      </c>
      <c r="P76" s="14">
        <f>IF(COUNTIF(Assumptions!$B$25:$B$26,A76)&gt;0,1,0)</f>
        <v>0</v>
      </c>
      <c r="Q76" s="14">
        <f>IF(COUNTIF(Assumptions!$C$25:$C$25,A76)&gt;0,1,0)</f>
        <v>0</v>
      </c>
      <c r="R76" s="17">
        <f t="shared" si="7"/>
        <v>0</v>
      </c>
      <c r="S76" s="15" t="str">
        <f>IFERROR(VLOOKUP(A76,Assumptions!$A$31:$B$33,2,0),"")</f>
        <v/>
      </c>
      <c r="T76" s="15">
        <f t="shared" si="8"/>
        <v>12.53</v>
      </c>
      <c r="U76" s="15">
        <f t="shared" si="9"/>
        <v>40522.019999999997</v>
      </c>
      <c r="V76" s="15">
        <f t="shared" si="10"/>
        <v>40522.019999999997</v>
      </c>
      <c r="W76" s="15">
        <f t="shared" si="11"/>
        <v>0</v>
      </c>
    </row>
    <row r="77" spans="1:23" ht="15" customHeight="1" x14ac:dyDescent="0.2">
      <c r="A77" s="14" t="s">
        <v>2140</v>
      </c>
      <c r="B77" s="14" t="s">
        <v>2141</v>
      </c>
      <c r="C77" s="14" t="s">
        <v>2142</v>
      </c>
      <c r="D77" s="14" t="s">
        <v>44</v>
      </c>
      <c r="E77" s="14" t="s">
        <v>2037</v>
      </c>
      <c r="F77" s="14">
        <v>4226</v>
      </c>
      <c r="G77" s="15">
        <v>362.57</v>
      </c>
      <c r="H77" s="16">
        <v>45985</v>
      </c>
      <c r="I77" s="16">
        <v>46291</v>
      </c>
      <c r="J77" s="16"/>
      <c r="K77" s="14" t="s">
        <v>1989</v>
      </c>
      <c r="L77" s="16">
        <f>IF(D77="Packaging","",IF(ISNUMBER(J77),J77,IF(ISNUMBER(I77),EDATE(I77,VLOOKUP(D77,Assumptions!$A$10:$B$16,2,0)),"")))</f>
        <v>46838</v>
      </c>
      <c r="M77" s="14">
        <f>IF(ISNUMBER(L77),L77-Assumptions!$B$5,"")</f>
        <v>816</v>
      </c>
      <c r="N77" s="17">
        <f t="shared" si="6"/>
        <v>0</v>
      </c>
      <c r="O77" s="14">
        <f>IF(COUNTIF(Assumptions!$A$25:$A$27,A77)&gt;0,1,0)</f>
        <v>0</v>
      </c>
      <c r="P77" s="14">
        <f>IF(COUNTIF(Assumptions!$B$25:$B$26,A77)&gt;0,1,0)</f>
        <v>0</v>
      </c>
      <c r="Q77" s="14">
        <f>IF(COUNTIF(Assumptions!$C$25:$C$25,A77)&gt;0,1,0)</f>
        <v>0</v>
      </c>
      <c r="R77" s="17">
        <f t="shared" si="7"/>
        <v>0</v>
      </c>
      <c r="S77" s="15" t="str">
        <f>IFERROR(VLOOKUP(A77,Assumptions!$A$31:$B$33,2,0),"")</f>
        <v/>
      </c>
      <c r="T77" s="15">
        <f t="shared" si="8"/>
        <v>362.57</v>
      </c>
      <c r="U77" s="15">
        <f t="shared" si="9"/>
        <v>1532220.82</v>
      </c>
      <c r="V77" s="15">
        <f t="shared" si="10"/>
        <v>1532220.82</v>
      </c>
      <c r="W77" s="15">
        <f t="shared" si="11"/>
        <v>0</v>
      </c>
    </row>
    <row r="78" spans="1:23" ht="15" customHeight="1" x14ac:dyDescent="0.2">
      <c r="A78" s="14" t="s">
        <v>1324</v>
      </c>
      <c r="B78" s="14" t="s">
        <v>1323</v>
      </c>
      <c r="C78" s="14" t="s">
        <v>2119</v>
      </c>
      <c r="D78" s="14" t="s">
        <v>39</v>
      </c>
      <c r="E78" s="14" t="s">
        <v>2014</v>
      </c>
      <c r="F78" s="14">
        <v>2179</v>
      </c>
      <c r="G78" s="15">
        <v>274.97000000000003</v>
      </c>
      <c r="H78" s="16">
        <v>45782</v>
      </c>
      <c r="I78" s="16">
        <v>45719</v>
      </c>
      <c r="J78" s="16">
        <v>46815</v>
      </c>
      <c r="K78" s="14" t="s">
        <v>2015</v>
      </c>
      <c r="L78" s="16">
        <f>IF(D78="Packaging","",IF(ISNUMBER(J78),J78,IF(ISNUMBER(I78),EDATE(I78,VLOOKUP(D78,Assumptions!$A$10:$B$16,2,0)),"")))</f>
        <v>46815</v>
      </c>
      <c r="M78" s="14">
        <f>IF(ISNUMBER(L78),L78-Assumptions!$B$5,"")</f>
        <v>793</v>
      </c>
      <c r="N78" s="17">
        <f t="shared" si="6"/>
        <v>0</v>
      </c>
      <c r="O78" s="14">
        <f>IF(COUNTIF(Assumptions!$A$25:$A$27,A78)&gt;0,1,0)</f>
        <v>0</v>
      </c>
      <c r="P78" s="14">
        <f>IF(COUNTIF(Assumptions!$B$25:$B$26,A78)&gt;0,1,0)</f>
        <v>0</v>
      </c>
      <c r="Q78" s="14">
        <f>IF(COUNTIF(Assumptions!$C$25:$C$25,A78)&gt;0,1,0)</f>
        <v>0</v>
      </c>
      <c r="R78" s="17">
        <f t="shared" si="7"/>
        <v>0</v>
      </c>
      <c r="S78" s="15" t="str">
        <f>IFERROR(VLOOKUP(A78,Assumptions!$A$31:$B$33,2,0),"")</f>
        <v/>
      </c>
      <c r="T78" s="15">
        <f t="shared" si="8"/>
        <v>274.97000000000003</v>
      </c>
      <c r="U78" s="15">
        <f t="shared" si="9"/>
        <v>599159.63</v>
      </c>
      <c r="V78" s="15">
        <f t="shared" si="10"/>
        <v>599159.63</v>
      </c>
      <c r="W78" s="15">
        <f t="shared" si="11"/>
        <v>0</v>
      </c>
    </row>
    <row r="79" spans="1:23" ht="15" customHeight="1" x14ac:dyDescent="0.2">
      <c r="A79" s="14" t="s">
        <v>2143</v>
      </c>
      <c r="B79" s="14" t="s">
        <v>2144</v>
      </c>
      <c r="C79" s="14" t="s">
        <v>2046</v>
      </c>
      <c r="D79" s="14" t="s">
        <v>42</v>
      </c>
      <c r="E79" s="14" t="s">
        <v>2014</v>
      </c>
      <c r="F79" s="14">
        <v>1347</v>
      </c>
      <c r="G79" s="15">
        <v>261.83</v>
      </c>
      <c r="H79" s="16">
        <v>45999</v>
      </c>
      <c r="I79" s="16">
        <v>46123</v>
      </c>
      <c r="J79" s="16"/>
      <c r="K79" s="14" t="s">
        <v>1989</v>
      </c>
      <c r="L79" s="16">
        <f>IF(D79="Packaging","",IF(ISNUMBER(J79),J79,IF(ISNUMBER(I79),EDATE(I79,VLOOKUP(D79,Assumptions!$A$10:$B$16,2,0)),"")))</f>
        <v>46488</v>
      </c>
      <c r="M79" s="14">
        <f>IF(ISNUMBER(L79),L79-Assumptions!$B$5,"")</f>
        <v>466</v>
      </c>
      <c r="N79" s="17">
        <f t="shared" si="6"/>
        <v>0</v>
      </c>
      <c r="O79" s="14">
        <f>IF(COUNTIF(Assumptions!$A$25:$A$27,A79)&gt;0,1,0)</f>
        <v>0</v>
      </c>
      <c r="P79" s="14">
        <f>IF(COUNTIF(Assumptions!$B$25:$B$26,A79)&gt;0,1,0)</f>
        <v>0</v>
      </c>
      <c r="Q79" s="14">
        <f>IF(COUNTIF(Assumptions!$C$25:$C$25,A79)&gt;0,1,0)</f>
        <v>0</v>
      </c>
      <c r="R79" s="17">
        <f t="shared" si="7"/>
        <v>0</v>
      </c>
      <c r="S79" s="15" t="str">
        <f>IFERROR(VLOOKUP(A79,Assumptions!$A$31:$B$33,2,0),"")</f>
        <v/>
      </c>
      <c r="T79" s="15">
        <f t="shared" si="8"/>
        <v>261.83</v>
      </c>
      <c r="U79" s="15">
        <f t="shared" si="9"/>
        <v>352685.00999999995</v>
      </c>
      <c r="V79" s="15">
        <f t="shared" si="10"/>
        <v>352685.00999999995</v>
      </c>
      <c r="W79" s="15">
        <f t="shared" si="11"/>
        <v>0</v>
      </c>
    </row>
    <row r="80" spans="1:23" ht="15" customHeight="1" x14ac:dyDescent="0.2">
      <c r="A80" s="14" t="s">
        <v>2145</v>
      </c>
      <c r="B80" s="14" t="s">
        <v>2146</v>
      </c>
      <c r="C80" s="14" t="s">
        <v>2107</v>
      </c>
      <c r="D80" s="14" t="s">
        <v>42</v>
      </c>
      <c r="E80" s="14" t="s">
        <v>1988</v>
      </c>
      <c r="F80" s="14">
        <v>2653</v>
      </c>
      <c r="G80" s="15">
        <v>157.71</v>
      </c>
      <c r="H80" s="16">
        <v>46010</v>
      </c>
      <c r="I80" s="16">
        <v>46382</v>
      </c>
      <c r="J80" s="16"/>
      <c r="K80" s="14" t="s">
        <v>1994</v>
      </c>
      <c r="L80" s="16">
        <f>IF(D80="Packaging","",IF(ISNUMBER(J80),J80,IF(ISNUMBER(I80),EDATE(I80,VLOOKUP(D80,Assumptions!$A$10:$B$16,2,0)),"")))</f>
        <v>46747</v>
      </c>
      <c r="M80" s="14">
        <f>IF(ISNUMBER(L80),L80-Assumptions!$B$5,"")</f>
        <v>725</v>
      </c>
      <c r="N80" s="17">
        <f t="shared" si="6"/>
        <v>0</v>
      </c>
      <c r="O80" s="14">
        <f>IF(COUNTIF(Assumptions!$A$25:$A$27,A80)&gt;0,1,0)</f>
        <v>0</v>
      </c>
      <c r="P80" s="14">
        <f>IF(COUNTIF(Assumptions!$B$25:$B$26,A80)&gt;0,1,0)</f>
        <v>0</v>
      </c>
      <c r="Q80" s="14">
        <f>IF(COUNTIF(Assumptions!$C$25:$C$25,A80)&gt;0,1,0)</f>
        <v>0</v>
      </c>
      <c r="R80" s="17">
        <f t="shared" si="7"/>
        <v>0</v>
      </c>
      <c r="S80" s="15" t="str">
        <f>IFERROR(VLOOKUP(A80,Assumptions!$A$31:$B$33,2,0),"")</f>
        <v/>
      </c>
      <c r="T80" s="15">
        <f t="shared" si="8"/>
        <v>157.71</v>
      </c>
      <c r="U80" s="15">
        <f t="shared" si="9"/>
        <v>418404.63</v>
      </c>
      <c r="V80" s="15">
        <f t="shared" si="10"/>
        <v>418404.63</v>
      </c>
      <c r="W80" s="15">
        <f t="shared" si="11"/>
        <v>0</v>
      </c>
    </row>
    <row r="81" spans="1:23" ht="15" customHeight="1" x14ac:dyDescent="0.2">
      <c r="A81" s="14" t="s">
        <v>2147</v>
      </c>
      <c r="B81" s="14" t="s">
        <v>2148</v>
      </c>
      <c r="C81" s="14" t="s">
        <v>2003</v>
      </c>
      <c r="D81" s="14" t="s">
        <v>46</v>
      </c>
      <c r="E81" s="14" t="s">
        <v>2037</v>
      </c>
      <c r="F81" s="14">
        <v>381</v>
      </c>
      <c r="G81" s="15">
        <v>212.85</v>
      </c>
      <c r="H81" s="16">
        <v>45998</v>
      </c>
      <c r="I81" s="16">
        <v>46078</v>
      </c>
      <c r="J81" s="16"/>
      <c r="K81" s="14" t="s">
        <v>2052</v>
      </c>
      <c r="L81" s="16">
        <f>IF(D81="Packaging","",IF(ISNUMBER(J81),J81,IF(ISNUMBER(I81),EDATE(I81,VLOOKUP(D81,Assumptions!$A$10:$B$16,2,0)),"")))</f>
        <v>46351</v>
      </c>
      <c r="M81" s="14">
        <f>IF(ISNUMBER(L81),L81-Assumptions!$B$5,"")</f>
        <v>329</v>
      </c>
      <c r="N81" s="17">
        <f t="shared" si="6"/>
        <v>0</v>
      </c>
      <c r="O81" s="14">
        <f>IF(COUNTIF(Assumptions!$A$25:$A$27,A81)&gt;0,1,0)</f>
        <v>0</v>
      </c>
      <c r="P81" s="14">
        <f>IF(COUNTIF(Assumptions!$B$25:$B$26,A81)&gt;0,1,0)</f>
        <v>0</v>
      </c>
      <c r="Q81" s="14">
        <f>IF(COUNTIF(Assumptions!$C$25:$C$25,A81)&gt;0,1,0)</f>
        <v>0</v>
      </c>
      <c r="R81" s="17">
        <f t="shared" si="7"/>
        <v>0</v>
      </c>
      <c r="S81" s="15" t="str">
        <f>IFERROR(VLOOKUP(A81,Assumptions!$A$31:$B$33,2,0),"")</f>
        <v/>
      </c>
      <c r="T81" s="15">
        <f t="shared" si="8"/>
        <v>212.85</v>
      </c>
      <c r="U81" s="15">
        <f t="shared" si="9"/>
        <v>81095.849999999991</v>
      </c>
      <c r="V81" s="15">
        <f t="shared" si="10"/>
        <v>81095.849999999991</v>
      </c>
      <c r="W81" s="15">
        <f t="shared" si="11"/>
        <v>0</v>
      </c>
    </row>
    <row r="82" spans="1:23" ht="15" customHeight="1" x14ac:dyDescent="0.2">
      <c r="A82" s="14" t="s">
        <v>2149</v>
      </c>
      <c r="B82" s="14" t="s">
        <v>2150</v>
      </c>
      <c r="C82" s="14" t="s">
        <v>1992</v>
      </c>
      <c r="D82" s="14" t="s">
        <v>45</v>
      </c>
      <c r="E82" s="14" t="s">
        <v>1988</v>
      </c>
      <c r="F82" s="14">
        <v>3997</v>
      </c>
      <c r="G82" s="15">
        <v>304.73</v>
      </c>
      <c r="H82" s="16">
        <v>45977</v>
      </c>
      <c r="I82" s="16">
        <v>46124</v>
      </c>
      <c r="J82" s="16">
        <v>46307</v>
      </c>
      <c r="K82" s="14" t="s">
        <v>2030</v>
      </c>
      <c r="L82" s="16">
        <f>IF(D82="Packaging","",IF(ISNUMBER(J82),J82,IF(ISNUMBER(I82),EDATE(I82,VLOOKUP(D82,Assumptions!$A$10:$B$16,2,0)),"")))</f>
        <v>46307</v>
      </c>
      <c r="M82" s="14">
        <f>IF(ISNUMBER(L82),L82-Assumptions!$B$5,"")</f>
        <v>285</v>
      </c>
      <c r="N82" s="17">
        <f t="shared" si="6"/>
        <v>0</v>
      </c>
      <c r="O82" s="14">
        <f>IF(COUNTIF(Assumptions!$A$25:$A$27,A82)&gt;0,1,0)</f>
        <v>0</v>
      </c>
      <c r="P82" s="14">
        <f>IF(COUNTIF(Assumptions!$B$25:$B$26,A82)&gt;0,1,0)</f>
        <v>0</v>
      </c>
      <c r="Q82" s="14">
        <f>IF(COUNTIF(Assumptions!$C$25:$C$25,A82)&gt;0,1,0)</f>
        <v>0</v>
      </c>
      <c r="R82" s="17">
        <f t="shared" si="7"/>
        <v>0</v>
      </c>
      <c r="S82" s="15" t="str">
        <f>IFERROR(VLOOKUP(A82,Assumptions!$A$31:$B$33,2,0),"")</f>
        <v/>
      </c>
      <c r="T82" s="15">
        <f t="shared" si="8"/>
        <v>304.73</v>
      </c>
      <c r="U82" s="15">
        <f t="shared" si="9"/>
        <v>1218005.81</v>
      </c>
      <c r="V82" s="15">
        <f t="shared" si="10"/>
        <v>1218005.81</v>
      </c>
      <c r="W82" s="15">
        <f t="shared" si="11"/>
        <v>0</v>
      </c>
    </row>
    <row r="83" spans="1:23" ht="15" customHeight="1" x14ac:dyDescent="0.2">
      <c r="A83" s="14" t="s">
        <v>2151</v>
      </c>
      <c r="B83" s="14" t="s">
        <v>2152</v>
      </c>
      <c r="C83" s="14" t="s">
        <v>2107</v>
      </c>
      <c r="D83" s="14" t="s">
        <v>42</v>
      </c>
      <c r="E83" s="14" t="s">
        <v>1988</v>
      </c>
      <c r="F83" s="14">
        <v>818</v>
      </c>
      <c r="G83" s="15">
        <v>259.56</v>
      </c>
      <c r="H83" s="16">
        <v>45981</v>
      </c>
      <c r="I83" s="16">
        <v>46180</v>
      </c>
      <c r="J83" s="16">
        <v>46545</v>
      </c>
      <c r="K83" s="14" t="s">
        <v>1994</v>
      </c>
      <c r="L83" s="16">
        <f>IF(D83="Packaging","",IF(ISNUMBER(J83),J83,IF(ISNUMBER(I83),EDATE(I83,VLOOKUP(D83,Assumptions!$A$10:$B$16,2,0)),"")))</f>
        <v>46545</v>
      </c>
      <c r="M83" s="14">
        <f>IF(ISNUMBER(L83),L83-Assumptions!$B$5,"")</f>
        <v>523</v>
      </c>
      <c r="N83" s="17">
        <f t="shared" si="6"/>
        <v>0</v>
      </c>
      <c r="O83" s="14">
        <f>IF(COUNTIF(Assumptions!$A$25:$A$27,A83)&gt;0,1,0)</f>
        <v>0</v>
      </c>
      <c r="P83" s="14">
        <f>IF(COUNTIF(Assumptions!$B$25:$B$26,A83)&gt;0,1,0)</f>
        <v>0</v>
      </c>
      <c r="Q83" s="14">
        <f>IF(COUNTIF(Assumptions!$C$25:$C$25,A83)&gt;0,1,0)</f>
        <v>0</v>
      </c>
      <c r="R83" s="17">
        <f t="shared" si="7"/>
        <v>0</v>
      </c>
      <c r="S83" s="15" t="str">
        <f>IFERROR(VLOOKUP(A83,Assumptions!$A$31:$B$33,2,0),"")</f>
        <v/>
      </c>
      <c r="T83" s="15">
        <f t="shared" si="8"/>
        <v>259.56</v>
      </c>
      <c r="U83" s="15">
        <f t="shared" si="9"/>
        <v>212320.08000000002</v>
      </c>
      <c r="V83" s="15">
        <f t="shared" si="10"/>
        <v>212320.08000000002</v>
      </c>
      <c r="W83" s="15">
        <f t="shared" si="11"/>
        <v>0</v>
      </c>
    </row>
    <row r="84" spans="1:23" ht="15" customHeight="1" x14ac:dyDescent="0.2">
      <c r="A84" s="14" t="s">
        <v>2153</v>
      </c>
      <c r="B84" s="14" t="s">
        <v>2154</v>
      </c>
      <c r="C84" s="14" t="s">
        <v>2042</v>
      </c>
      <c r="D84" s="14" t="s">
        <v>47</v>
      </c>
      <c r="E84" s="14" t="s">
        <v>1993</v>
      </c>
      <c r="F84" s="14">
        <v>4416</v>
      </c>
      <c r="G84" s="15">
        <v>418.02</v>
      </c>
      <c r="H84" s="16">
        <v>45647</v>
      </c>
      <c r="I84" s="16">
        <v>45587</v>
      </c>
      <c r="J84" s="16"/>
      <c r="K84" s="14" t="s">
        <v>2004</v>
      </c>
      <c r="L84" s="16" t="str">
        <f>IF(D84="Packaging","",IF(ISNUMBER(J84),J84,IF(ISNUMBER(I84),EDATE(I84,VLOOKUP(D84,Assumptions!$A$10:$B$16,2,0)),"")))</f>
        <v/>
      </c>
      <c r="M84" s="14" t="str">
        <f>IF(ISNUMBER(L84),L84-Assumptions!$B$5,"")</f>
        <v/>
      </c>
      <c r="N84" s="17">
        <f t="shared" si="6"/>
        <v>0</v>
      </c>
      <c r="O84" s="14">
        <f>IF(COUNTIF(Assumptions!$A$25:$A$27,A84)&gt;0,1,0)</f>
        <v>0</v>
      </c>
      <c r="P84" s="14">
        <f>IF(COUNTIF(Assumptions!$B$25:$B$26,A84)&gt;0,1,0)</f>
        <v>0</v>
      </c>
      <c r="Q84" s="14">
        <f>IF(COUNTIF(Assumptions!$C$25:$C$25,A84)&gt;0,1,0)</f>
        <v>0</v>
      </c>
      <c r="R84" s="17">
        <f t="shared" si="7"/>
        <v>0</v>
      </c>
      <c r="S84" s="15" t="str">
        <f>IFERROR(VLOOKUP(A84,Assumptions!$A$31:$B$33,2,0),"")</f>
        <v/>
      </c>
      <c r="T84" s="15">
        <f t="shared" si="8"/>
        <v>418.02</v>
      </c>
      <c r="U84" s="15">
        <f t="shared" si="9"/>
        <v>1845976.3199999998</v>
      </c>
      <c r="V84" s="15">
        <f t="shared" si="10"/>
        <v>1845976.3199999998</v>
      </c>
      <c r="W84" s="15">
        <f t="shared" si="11"/>
        <v>0</v>
      </c>
    </row>
    <row r="85" spans="1:23" ht="15" customHeight="1" x14ac:dyDescent="0.2">
      <c r="A85" s="14" t="s">
        <v>2155</v>
      </c>
      <c r="B85" s="14" t="s">
        <v>2156</v>
      </c>
      <c r="C85" s="14" t="s">
        <v>2042</v>
      </c>
      <c r="D85" s="14" t="s">
        <v>47</v>
      </c>
      <c r="E85" s="14" t="s">
        <v>1993</v>
      </c>
      <c r="F85" s="14">
        <v>869</v>
      </c>
      <c r="G85" s="15">
        <v>35.479999999999997</v>
      </c>
      <c r="H85" s="16">
        <v>45517</v>
      </c>
      <c r="I85" s="16">
        <v>45440</v>
      </c>
      <c r="J85" s="16"/>
      <c r="K85" s="14" t="s">
        <v>2030</v>
      </c>
      <c r="L85" s="16" t="str">
        <f>IF(D85="Packaging","",IF(ISNUMBER(J85),J85,IF(ISNUMBER(I85),EDATE(I85,VLOOKUP(D85,Assumptions!$A$10:$B$16,2,0)),"")))</f>
        <v/>
      </c>
      <c r="M85" s="14" t="str">
        <f>IF(ISNUMBER(L85),L85-Assumptions!$B$5,"")</f>
        <v/>
      </c>
      <c r="N85" s="17">
        <f t="shared" si="6"/>
        <v>0</v>
      </c>
      <c r="O85" s="14">
        <f>IF(COUNTIF(Assumptions!$A$25:$A$27,A85)&gt;0,1,0)</f>
        <v>0</v>
      </c>
      <c r="P85" s="14">
        <f>IF(COUNTIF(Assumptions!$B$25:$B$26,A85)&gt;0,1,0)</f>
        <v>0</v>
      </c>
      <c r="Q85" s="14">
        <f>IF(COUNTIF(Assumptions!$C$25:$C$25,A85)&gt;0,1,0)</f>
        <v>0</v>
      </c>
      <c r="R85" s="17">
        <f t="shared" si="7"/>
        <v>0</v>
      </c>
      <c r="S85" s="15" t="str">
        <f>IFERROR(VLOOKUP(A85,Assumptions!$A$31:$B$33,2,0),"")</f>
        <v/>
      </c>
      <c r="T85" s="15">
        <f t="shared" si="8"/>
        <v>35.479999999999997</v>
      </c>
      <c r="U85" s="15">
        <f t="shared" si="9"/>
        <v>30832.12</v>
      </c>
      <c r="V85" s="15">
        <f t="shared" si="10"/>
        <v>30832.12</v>
      </c>
      <c r="W85" s="15">
        <f t="shared" si="11"/>
        <v>0</v>
      </c>
    </row>
    <row r="86" spans="1:23" ht="15" customHeight="1" x14ac:dyDescent="0.2">
      <c r="A86" s="14" t="s">
        <v>2157</v>
      </c>
      <c r="B86" s="14" t="s">
        <v>2158</v>
      </c>
      <c r="C86" s="14" t="s">
        <v>2159</v>
      </c>
      <c r="D86" s="14" t="s">
        <v>46</v>
      </c>
      <c r="E86" s="14" t="s">
        <v>2037</v>
      </c>
      <c r="F86" s="14">
        <v>1737</v>
      </c>
      <c r="G86" s="15">
        <v>293.10000000000002</v>
      </c>
      <c r="H86" s="16">
        <v>45724</v>
      </c>
      <c r="I86" s="16">
        <v>45680</v>
      </c>
      <c r="J86" s="16">
        <v>45953</v>
      </c>
      <c r="K86" s="14" t="s">
        <v>1994</v>
      </c>
      <c r="L86" s="16">
        <f>IF(D86="Packaging","",IF(ISNUMBER(J86),J86,IF(ISNUMBER(I86),EDATE(I86,VLOOKUP(D86,Assumptions!$A$10:$B$16,2,0)),"")))</f>
        <v>45953</v>
      </c>
      <c r="M86" s="14">
        <f>IF(ISNUMBER(L86),L86-Assumptions!$B$5,"")</f>
        <v>-69</v>
      </c>
      <c r="N86" s="17">
        <f t="shared" si="6"/>
        <v>1</v>
      </c>
      <c r="O86" s="14">
        <f>IF(COUNTIF(Assumptions!$A$25:$A$27,A86)&gt;0,1,0)</f>
        <v>0</v>
      </c>
      <c r="P86" s="14">
        <f>IF(COUNTIF(Assumptions!$B$25:$B$26,A86)&gt;0,1,0)</f>
        <v>0</v>
      </c>
      <c r="Q86" s="14">
        <f>IF(COUNTIF(Assumptions!$C$25:$C$25,A86)&gt;0,1,0)</f>
        <v>0</v>
      </c>
      <c r="R86" s="17">
        <f t="shared" si="7"/>
        <v>1</v>
      </c>
      <c r="S86" s="15" t="str">
        <f>IFERROR(VLOOKUP(A86,Assumptions!$A$31:$B$33,2,0),"")</f>
        <v/>
      </c>
      <c r="T86" s="15">
        <f t="shared" si="8"/>
        <v>293.10000000000002</v>
      </c>
      <c r="U86" s="15">
        <f t="shared" si="9"/>
        <v>509114.7</v>
      </c>
      <c r="V86" s="15">
        <f t="shared" si="10"/>
        <v>0</v>
      </c>
      <c r="W86" s="15">
        <f t="shared" si="11"/>
        <v>509114.7</v>
      </c>
    </row>
    <row r="87" spans="1:23" ht="15" customHeight="1" x14ac:dyDescent="0.2">
      <c r="A87" s="14" t="s">
        <v>2160</v>
      </c>
      <c r="B87" s="14" t="s">
        <v>2161</v>
      </c>
      <c r="C87" s="14" t="s">
        <v>2089</v>
      </c>
      <c r="D87" s="14" t="s">
        <v>46</v>
      </c>
      <c r="E87" s="14" t="s">
        <v>2037</v>
      </c>
      <c r="F87" s="14">
        <v>2314</v>
      </c>
      <c r="G87" s="15">
        <v>333.44</v>
      </c>
      <c r="H87" s="16">
        <v>45964</v>
      </c>
      <c r="I87" s="16">
        <v>45914</v>
      </c>
      <c r="J87" s="16">
        <v>46187</v>
      </c>
      <c r="K87" s="14" t="s">
        <v>2021</v>
      </c>
      <c r="L87" s="16">
        <f>IF(D87="Packaging","",IF(ISNUMBER(J87),J87,IF(ISNUMBER(I87),EDATE(I87,VLOOKUP(D87,Assumptions!$A$10:$B$16,2,0)),"")))</f>
        <v>46187</v>
      </c>
      <c r="M87" s="14">
        <f>IF(ISNUMBER(L87),L87-Assumptions!$B$5,"")</f>
        <v>165</v>
      </c>
      <c r="N87" s="17">
        <f t="shared" si="6"/>
        <v>0.25</v>
      </c>
      <c r="O87" s="14">
        <f>IF(COUNTIF(Assumptions!$A$25:$A$27,A87)&gt;0,1,0)</f>
        <v>0</v>
      </c>
      <c r="P87" s="14">
        <f>IF(COUNTIF(Assumptions!$B$25:$B$26,A87)&gt;0,1,0)</f>
        <v>0</v>
      </c>
      <c r="Q87" s="14">
        <f>IF(COUNTIF(Assumptions!$C$25:$C$25,A87)&gt;0,1,0)</f>
        <v>0</v>
      </c>
      <c r="R87" s="17">
        <f t="shared" si="7"/>
        <v>0.25</v>
      </c>
      <c r="S87" s="15" t="str">
        <f>IFERROR(VLOOKUP(A87,Assumptions!$A$31:$B$33,2,0),"")</f>
        <v/>
      </c>
      <c r="T87" s="15">
        <f t="shared" si="8"/>
        <v>333.44</v>
      </c>
      <c r="U87" s="15">
        <f t="shared" si="9"/>
        <v>771580.16</v>
      </c>
      <c r="V87" s="15">
        <f t="shared" si="10"/>
        <v>578685.12</v>
      </c>
      <c r="W87" s="15">
        <f t="shared" si="11"/>
        <v>192895.04000000004</v>
      </c>
    </row>
    <row r="88" spans="1:23" ht="15" customHeight="1" x14ac:dyDescent="0.2">
      <c r="A88" s="14" t="s">
        <v>2162</v>
      </c>
      <c r="B88" s="14" t="s">
        <v>2163</v>
      </c>
      <c r="C88" s="14" t="s">
        <v>2107</v>
      </c>
      <c r="D88" s="14" t="s">
        <v>42</v>
      </c>
      <c r="E88" s="14" t="s">
        <v>1988</v>
      </c>
      <c r="F88" s="14">
        <v>217</v>
      </c>
      <c r="G88" s="15">
        <v>124.83</v>
      </c>
      <c r="H88" s="16">
        <v>45974</v>
      </c>
      <c r="I88" s="16">
        <v>46084</v>
      </c>
      <c r="J88" s="16">
        <v>46449</v>
      </c>
      <c r="K88" s="14" t="s">
        <v>1989</v>
      </c>
      <c r="L88" s="16">
        <f>IF(D88="Packaging","",IF(ISNUMBER(J88),J88,IF(ISNUMBER(I88),EDATE(I88,VLOOKUP(D88,Assumptions!$A$10:$B$16,2,0)),"")))</f>
        <v>46449</v>
      </c>
      <c r="M88" s="14">
        <f>IF(ISNUMBER(L88),L88-Assumptions!$B$5,"")</f>
        <v>427</v>
      </c>
      <c r="N88" s="17">
        <f t="shared" si="6"/>
        <v>0</v>
      </c>
      <c r="O88" s="14">
        <f>IF(COUNTIF(Assumptions!$A$25:$A$27,A88)&gt;0,1,0)</f>
        <v>0</v>
      </c>
      <c r="P88" s="14">
        <f>IF(COUNTIF(Assumptions!$B$25:$B$26,A88)&gt;0,1,0)</f>
        <v>0</v>
      </c>
      <c r="Q88" s="14">
        <f>IF(COUNTIF(Assumptions!$C$25:$C$25,A88)&gt;0,1,0)</f>
        <v>0</v>
      </c>
      <c r="R88" s="17">
        <f t="shared" si="7"/>
        <v>0</v>
      </c>
      <c r="S88" s="15" t="str">
        <f>IFERROR(VLOOKUP(A88,Assumptions!$A$31:$B$33,2,0),"")</f>
        <v/>
      </c>
      <c r="T88" s="15">
        <f t="shared" si="8"/>
        <v>124.83</v>
      </c>
      <c r="U88" s="15">
        <f t="shared" si="9"/>
        <v>27088.11</v>
      </c>
      <c r="V88" s="15">
        <f t="shared" si="10"/>
        <v>27088.11</v>
      </c>
      <c r="W88" s="15">
        <f t="shared" si="11"/>
        <v>0</v>
      </c>
    </row>
    <row r="89" spans="1:23" ht="15" customHeight="1" x14ac:dyDescent="0.2">
      <c r="A89" s="14" t="s">
        <v>2164</v>
      </c>
      <c r="B89" s="14" t="s">
        <v>2165</v>
      </c>
      <c r="C89" s="14" t="s">
        <v>2089</v>
      </c>
      <c r="D89" s="14" t="s">
        <v>46</v>
      </c>
      <c r="E89" s="14" t="s">
        <v>2014</v>
      </c>
      <c r="F89" s="14">
        <v>4440</v>
      </c>
      <c r="G89" s="15">
        <v>143.63</v>
      </c>
      <c r="H89" s="16">
        <v>45762</v>
      </c>
      <c r="I89" s="16">
        <v>45684</v>
      </c>
      <c r="J89" s="16"/>
      <c r="K89" s="14" t="s">
        <v>2015</v>
      </c>
      <c r="L89" s="16">
        <f>IF(D89="Packaging","",IF(ISNUMBER(J89),J89,IF(ISNUMBER(I89),EDATE(I89,VLOOKUP(D89,Assumptions!$A$10:$B$16,2,0)),"")))</f>
        <v>45957</v>
      </c>
      <c r="M89" s="14">
        <f>IF(ISNUMBER(L89),L89-Assumptions!$B$5,"")</f>
        <v>-65</v>
      </c>
      <c r="N89" s="17">
        <f t="shared" si="6"/>
        <v>1</v>
      </c>
      <c r="O89" s="14">
        <f>IF(COUNTIF(Assumptions!$A$25:$A$27,A89)&gt;0,1,0)</f>
        <v>0</v>
      </c>
      <c r="P89" s="14">
        <f>IF(COUNTIF(Assumptions!$B$25:$B$26,A89)&gt;0,1,0)</f>
        <v>0</v>
      </c>
      <c r="Q89" s="14">
        <f>IF(COUNTIF(Assumptions!$C$25:$C$25,A89)&gt;0,1,0)</f>
        <v>0</v>
      </c>
      <c r="R89" s="17">
        <f t="shared" si="7"/>
        <v>1</v>
      </c>
      <c r="S89" s="15" t="str">
        <f>IFERROR(VLOOKUP(A89,Assumptions!$A$31:$B$33,2,0),"")</f>
        <v/>
      </c>
      <c r="T89" s="15">
        <f t="shared" si="8"/>
        <v>143.63</v>
      </c>
      <c r="U89" s="15">
        <f t="shared" si="9"/>
        <v>637717.19999999995</v>
      </c>
      <c r="V89" s="15">
        <f t="shared" si="10"/>
        <v>0</v>
      </c>
      <c r="W89" s="15">
        <f t="shared" si="11"/>
        <v>637717.19999999995</v>
      </c>
    </row>
    <row r="90" spans="1:23" ht="15" customHeight="1" x14ac:dyDescent="0.2">
      <c r="A90" s="14" t="s">
        <v>208</v>
      </c>
      <c r="B90" s="14" t="s">
        <v>207</v>
      </c>
      <c r="C90" s="14" t="s">
        <v>1987</v>
      </c>
      <c r="D90" s="14" t="s">
        <v>36</v>
      </c>
      <c r="E90" s="14" t="s">
        <v>1993</v>
      </c>
      <c r="F90" s="14">
        <v>3990</v>
      </c>
      <c r="G90" s="15">
        <v>36.340000000000003</v>
      </c>
      <c r="H90" s="16">
        <v>45619</v>
      </c>
      <c r="I90" s="16">
        <v>45614</v>
      </c>
      <c r="J90" s="16">
        <v>46344</v>
      </c>
      <c r="K90" s="14" t="s">
        <v>2015</v>
      </c>
      <c r="L90" s="16">
        <f>IF(D90="Packaging","",IF(ISNUMBER(J90),J90,IF(ISNUMBER(I90),EDATE(I90,VLOOKUP(D90,Assumptions!$A$10:$B$16,2,0)),"")))</f>
        <v>46344</v>
      </c>
      <c r="M90" s="14">
        <f>IF(ISNUMBER(L90),L90-Assumptions!$B$5,"")</f>
        <v>322</v>
      </c>
      <c r="N90" s="17">
        <f t="shared" si="6"/>
        <v>0</v>
      </c>
      <c r="O90" s="14">
        <f>IF(COUNTIF(Assumptions!$A$25:$A$27,A90)&gt;0,1,0)</f>
        <v>0</v>
      </c>
      <c r="P90" s="14">
        <f>IF(COUNTIF(Assumptions!$B$25:$B$26,A90)&gt;0,1,0)</f>
        <v>0</v>
      </c>
      <c r="Q90" s="14">
        <f>IF(COUNTIF(Assumptions!$C$25:$C$25,A90)&gt;0,1,0)</f>
        <v>0</v>
      </c>
      <c r="R90" s="17">
        <f t="shared" si="7"/>
        <v>0</v>
      </c>
      <c r="S90" s="15" t="str">
        <f>IFERROR(VLOOKUP(A90,Assumptions!$A$31:$B$33,2,0),"")</f>
        <v/>
      </c>
      <c r="T90" s="15">
        <f t="shared" si="8"/>
        <v>36.340000000000003</v>
      </c>
      <c r="U90" s="15">
        <f t="shared" si="9"/>
        <v>144996.6</v>
      </c>
      <c r="V90" s="15">
        <f t="shared" si="10"/>
        <v>144996.6</v>
      </c>
      <c r="W90" s="15">
        <f t="shared" si="11"/>
        <v>0</v>
      </c>
    </row>
    <row r="91" spans="1:23" ht="15" customHeight="1" x14ac:dyDescent="0.2">
      <c r="A91" s="14" t="s">
        <v>2166</v>
      </c>
      <c r="B91" s="14" t="s">
        <v>2167</v>
      </c>
      <c r="C91" s="14" t="s">
        <v>2027</v>
      </c>
      <c r="D91" s="14" t="s">
        <v>44</v>
      </c>
      <c r="E91" s="14" t="s">
        <v>1993</v>
      </c>
      <c r="F91" s="14">
        <v>4844</v>
      </c>
      <c r="G91" s="15">
        <v>218.29</v>
      </c>
      <c r="H91" s="16">
        <v>46004</v>
      </c>
      <c r="I91" s="16">
        <v>46248</v>
      </c>
      <c r="J91" s="16">
        <v>46797</v>
      </c>
      <c r="K91" s="14" t="s">
        <v>2030</v>
      </c>
      <c r="L91" s="16">
        <f>IF(D91="Packaging","",IF(ISNUMBER(J91),J91,IF(ISNUMBER(I91),EDATE(I91,VLOOKUP(D91,Assumptions!$A$10:$B$16,2,0)),"")))</f>
        <v>46797</v>
      </c>
      <c r="M91" s="14">
        <f>IF(ISNUMBER(L91),L91-Assumptions!$B$5,"")</f>
        <v>775</v>
      </c>
      <c r="N91" s="17">
        <f t="shared" si="6"/>
        <v>0</v>
      </c>
      <c r="O91" s="14">
        <f>IF(COUNTIF(Assumptions!$A$25:$A$27,A91)&gt;0,1,0)</f>
        <v>0</v>
      </c>
      <c r="P91" s="14">
        <f>IF(COUNTIF(Assumptions!$B$25:$B$26,A91)&gt;0,1,0)</f>
        <v>0</v>
      </c>
      <c r="Q91" s="14">
        <f>IF(COUNTIF(Assumptions!$C$25:$C$25,A91)&gt;0,1,0)</f>
        <v>0</v>
      </c>
      <c r="R91" s="17">
        <f t="shared" si="7"/>
        <v>0</v>
      </c>
      <c r="S91" s="15" t="str">
        <f>IFERROR(VLOOKUP(A91,Assumptions!$A$31:$B$33,2,0),"")</f>
        <v/>
      </c>
      <c r="T91" s="15">
        <f t="shared" si="8"/>
        <v>218.29</v>
      </c>
      <c r="U91" s="15">
        <f t="shared" si="9"/>
        <v>1057396.76</v>
      </c>
      <c r="V91" s="15">
        <f t="shared" si="10"/>
        <v>1057396.76</v>
      </c>
      <c r="W91" s="15">
        <f t="shared" si="11"/>
        <v>0</v>
      </c>
    </row>
    <row r="92" spans="1:23" ht="15" customHeight="1" x14ac:dyDescent="0.2">
      <c r="A92" s="14" t="s">
        <v>2168</v>
      </c>
      <c r="B92" s="14" t="s">
        <v>2169</v>
      </c>
      <c r="C92" s="14" t="s">
        <v>2069</v>
      </c>
      <c r="D92" s="14" t="s">
        <v>47</v>
      </c>
      <c r="E92" s="14" t="s">
        <v>1988</v>
      </c>
      <c r="F92" s="14">
        <v>3902</v>
      </c>
      <c r="G92" s="15">
        <v>349.34</v>
      </c>
      <c r="H92" s="16">
        <v>45951</v>
      </c>
      <c r="I92" s="16">
        <v>45884</v>
      </c>
      <c r="J92" s="16"/>
      <c r="K92" s="14" t="s">
        <v>2004</v>
      </c>
      <c r="L92" s="16" t="str">
        <f>IF(D92="Packaging","",IF(ISNUMBER(J92),J92,IF(ISNUMBER(I92),EDATE(I92,VLOOKUP(D92,Assumptions!$A$10:$B$16,2,0)),"")))</f>
        <v/>
      </c>
      <c r="M92" s="14" t="str">
        <f>IF(ISNUMBER(L92),L92-Assumptions!$B$5,"")</f>
        <v/>
      </c>
      <c r="N92" s="17">
        <f t="shared" si="6"/>
        <v>0</v>
      </c>
      <c r="O92" s="14">
        <f>IF(COUNTIF(Assumptions!$A$25:$A$27,A92)&gt;0,1,0)</f>
        <v>0</v>
      </c>
      <c r="P92" s="14">
        <f>IF(COUNTIF(Assumptions!$B$25:$B$26,A92)&gt;0,1,0)</f>
        <v>0</v>
      </c>
      <c r="Q92" s="14">
        <f>IF(COUNTIF(Assumptions!$C$25:$C$25,A92)&gt;0,1,0)</f>
        <v>0</v>
      </c>
      <c r="R92" s="17">
        <f t="shared" si="7"/>
        <v>0</v>
      </c>
      <c r="S92" s="15" t="str">
        <f>IFERROR(VLOOKUP(A92,Assumptions!$A$31:$B$33,2,0),"")</f>
        <v/>
      </c>
      <c r="T92" s="15">
        <f t="shared" si="8"/>
        <v>349.34</v>
      </c>
      <c r="U92" s="15">
        <f t="shared" si="9"/>
        <v>1363124.68</v>
      </c>
      <c r="V92" s="15">
        <f t="shared" si="10"/>
        <v>1363124.68</v>
      </c>
      <c r="W92" s="15">
        <f t="shared" si="11"/>
        <v>0</v>
      </c>
    </row>
    <row r="93" spans="1:23" ht="15" customHeight="1" x14ac:dyDescent="0.2">
      <c r="A93" s="14" t="s">
        <v>2170</v>
      </c>
      <c r="B93" s="14" t="s">
        <v>2171</v>
      </c>
      <c r="C93" s="14" t="s">
        <v>2033</v>
      </c>
      <c r="D93" s="14" t="s">
        <v>47</v>
      </c>
      <c r="E93" s="14" t="s">
        <v>1988</v>
      </c>
      <c r="F93" s="14">
        <v>4791</v>
      </c>
      <c r="G93" s="15">
        <v>283.54000000000002</v>
      </c>
      <c r="H93" s="16">
        <v>45686</v>
      </c>
      <c r="I93" s="16">
        <v>45655</v>
      </c>
      <c r="J93" s="16"/>
      <c r="K93" s="14" t="s">
        <v>2030</v>
      </c>
      <c r="L93" s="16" t="str">
        <f>IF(D93="Packaging","",IF(ISNUMBER(J93),J93,IF(ISNUMBER(I93),EDATE(I93,VLOOKUP(D93,Assumptions!$A$10:$B$16,2,0)),"")))</f>
        <v/>
      </c>
      <c r="M93" s="14" t="str">
        <f>IF(ISNUMBER(L93),L93-Assumptions!$B$5,"")</f>
        <v/>
      </c>
      <c r="N93" s="17">
        <f t="shared" si="6"/>
        <v>0</v>
      </c>
      <c r="O93" s="14">
        <f>IF(COUNTIF(Assumptions!$A$25:$A$27,A93)&gt;0,1,0)</f>
        <v>0</v>
      </c>
      <c r="P93" s="14">
        <f>IF(COUNTIF(Assumptions!$B$25:$B$26,A93)&gt;0,1,0)</f>
        <v>0</v>
      </c>
      <c r="Q93" s="14">
        <f>IF(COUNTIF(Assumptions!$C$25:$C$25,A93)&gt;0,1,0)</f>
        <v>0</v>
      </c>
      <c r="R93" s="17">
        <f t="shared" si="7"/>
        <v>0</v>
      </c>
      <c r="S93" s="15" t="str">
        <f>IFERROR(VLOOKUP(A93,Assumptions!$A$31:$B$33,2,0),"")</f>
        <v/>
      </c>
      <c r="T93" s="15">
        <f t="shared" si="8"/>
        <v>283.54000000000002</v>
      </c>
      <c r="U93" s="15">
        <f t="shared" si="9"/>
        <v>1358440.1400000001</v>
      </c>
      <c r="V93" s="15">
        <f t="shared" si="10"/>
        <v>1358440.1400000001</v>
      </c>
      <c r="W93" s="15">
        <f t="shared" si="11"/>
        <v>0</v>
      </c>
    </row>
    <row r="94" spans="1:23" ht="15" customHeight="1" x14ac:dyDescent="0.2">
      <c r="A94" s="14" t="s">
        <v>2172</v>
      </c>
      <c r="B94" s="14" t="s">
        <v>2173</v>
      </c>
      <c r="C94" s="14" t="s">
        <v>2094</v>
      </c>
      <c r="D94" s="14" t="s">
        <v>47</v>
      </c>
      <c r="E94" s="14" t="s">
        <v>1993</v>
      </c>
      <c r="F94" s="14">
        <v>4159</v>
      </c>
      <c r="G94" s="15">
        <v>181.21</v>
      </c>
      <c r="H94" s="16">
        <v>45656</v>
      </c>
      <c r="I94" s="16">
        <v>45617</v>
      </c>
      <c r="J94" s="16"/>
      <c r="K94" s="14" t="s">
        <v>2052</v>
      </c>
      <c r="L94" s="16" t="str">
        <f>IF(D94="Packaging","",IF(ISNUMBER(J94),J94,IF(ISNUMBER(I94),EDATE(I94,VLOOKUP(D94,Assumptions!$A$10:$B$16,2,0)),"")))</f>
        <v/>
      </c>
      <c r="M94" s="14" t="str">
        <f>IF(ISNUMBER(L94),L94-Assumptions!$B$5,"")</f>
        <v/>
      </c>
      <c r="N94" s="17">
        <f t="shared" si="6"/>
        <v>0</v>
      </c>
      <c r="O94" s="14">
        <f>IF(COUNTIF(Assumptions!$A$25:$A$27,A94)&gt;0,1,0)</f>
        <v>0</v>
      </c>
      <c r="P94" s="14">
        <f>IF(COUNTIF(Assumptions!$B$25:$B$26,A94)&gt;0,1,0)</f>
        <v>0</v>
      </c>
      <c r="Q94" s="14">
        <f>IF(COUNTIF(Assumptions!$C$25:$C$25,A94)&gt;0,1,0)</f>
        <v>0</v>
      </c>
      <c r="R94" s="17">
        <f t="shared" si="7"/>
        <v>0</v>
      </c>
      <c r="S94" s="15" t="str">
        <f>IFERROR(VLOOKUP(A94,Assumptions!$A$31:$B$33,2,0),"")</f>
        <v/>
      </c>
      <c r="T94" s="15">
        <f t="shared" si="8"/>
        <v>181.21</v>
      </c>
      <c r="U94" s="15">
        <f t="shared" si="9"/>
        <v>753652.39</v>
      </c>
      <c r="V94" s="15">
        <f t="shared" si="10"/>
        <v>753652.39</v>
      </c>
      <c r="W94" s="15">
        <f t="shared" si="11"/>
        <v>0</v>
      </c>
    </row>
    <row r="95" spans="1:23" ht="15" customHeight="1" x14ac:dyDescent="0.2">
      <c r="A95" s="14" t="s">
        <v>2174</v>
      </c>
      <c r="B95" s="14" t="s">
        <v>2175</v>
      </c>
      <c r="C95" s="14" t="s">
        <v>2046</v>
      </c>
      <c r="D95" s="14" t="s">
        <v>42</v>
      </c>
      <c r="E95" s="14" t="s">
        <v>2037</v>
      </c>
      <c r="F95" s="14">
        <v>3623</v>
      </c>
      <c r="G95" s="15">
        <v>7.36</v>
      </c>
      <c r="H95" s="16">
        <v>46010</v>
      </c>
      <c r="I95" s="16">
        <v>46016</v>
      </c>
      <c r="J95" s="16"/>
      <c r="K95" s="14" t="s">
        <v>2030</v>
      </c>
      <c r="L95" s="16">
        <f>IF(D95="Packaging","",IF(ISNUMBER(J95),J95,IF(ISNUMBER(I95),EDATE(I95,VLOOKUP(D95,Assumptions!$A$10:$B$16,2,0)),"")))</f>
        <v>46381</v>
      </c>
      <c r="M95" s="14">
        <f>IF(ISNUMBER(L95),L95-Assumptions!$B$5,"")</f>
        <v>359</v>
      </c>
      <c r="N95" s="17">
        <f t="shared" si="6"/>
        <v>0</v>
      </c>
      <c r="O95" s="14">
        <f>IF(COUNTIF(Assumptions!$A$25:$A$27,A95)&gt;0,1,0)</f>
        <v>0</v>
      </c>
      <c r="P95" s="14">
        <f>IF(COUNTIF(Assumptions!$B$25:$B$26,A95)&gt;0,1,0)</f>
        <v>0</v>
      </c>
      <c r="Q95" s="14">
        <f>IF(COUNTIF(Assumptions!$C$25:$C$25,A95)&gt;0,1,0)</f>
        <v>0</v>
      </c>
      <c r="R95" s="17">
        <f t="shared" si="7"/>
        <v>0</v>
      </c>
      <c r="S95" s="15" t="str">
        <f>IFERROR(VLOOKUP(A95,Assumptions!$A$31:$B$33,2,0),"")</f>
        <v/>
      </c>
      <c r="T95" s="15">
        <f t="shared" si="8"/>
        <v>7.36</v>
      </c>
      <c r="U95" s="15">
        <f t="shared" si="9"/>
        <v>26665.280000000002</v>
      </c>
      <c r="V95" s="15">
        <f t="shared" si="10"/>
        <v>26665.280000000002</v>
      </c>
      <c r="W95" s="15">
        <f t="shared" si="11"/>
        <v>0</v>
      </c>
    </row>
    <row r="96" spans="1:23" ht="15" customHeight="1" x14ac:dyDescent="0.2">
      <c r="A96" s="14" t="s">
        <v>211</v>
      </c>
      <c r="B96" s="14" t="s">
        <v>210</v>
      </c>
      <c r="C96" s="14" t="s">
        <v>1435</v>
      </c>
      <c r="D96" s="14" t="s">
        <v>36</v>
      </c>
      <c r="E96" s="14" t="s">
        <v>1988</v>
      </c>
      <c r="F96" s="14">
        <v>1930</v>
      </c>
      <c r="G96" s="15">
        <v>417.12</v>
      </c>
      <c r="H96" s="16">
        <v>45890</v>
      </c>
      <c r="I96" s="16">
        <v>45825</v>
      </c>
      <c r="J96" s="16">
        <v>46555</v>
      </c>
      <c r="K96" s="14" t="s">
        <v>2021</v>
      </c>
      <c r="L96" s="16">
        <f>IF(D96="Packaging","",IF(ISNUMBER(J96),J96,IF(ISNUMBER(I96),EDATE(I96,VLOOKUP(D96,Assumptions!$A$10:$B$16,2,0)),"")))</f>
        <v>46555</v>
      </c>
      <c r="M96" s="14">
        <f>IF(ISNUMBER(L96),L96-Assumptions!$B$5,"")</f>
        <v>533</v>
      </c>
      <c r="N96" s="17">
        <f t="shared" si="6"/>
        <v>0</v>
      </c>
      <c r="O96" s="14">
        <f>IF(COUNTIF(Assumptions!$A$25:$A$27,A96)&gt;0,1,0)</f>
        <v>0</v>
      </c>
      <c r="P96" s="14">
        <f>IF(COUNTIF(Assumptions!$B$25:$B$26,A96)&gt;0,1,0)</f>
        <v>0</v>
      </c>
      <c r="Q96" s="14">
        <f>IF(COUNTIF(Assumptions!$C$25:$C$25,A96)&gt;0,1,0)</f>
        <v>0</v>
      </c>
      <c r="R96" s="17">
        <f t="shared" si="7"/>
        <v>0</v>
      </c>
      <c r="S96" s="15" t="str">
        <f>IFERROR(VLOOKUP(A96,Assumptions!$A$31:$B$33,2,0),"")</f>
        <v/>
      </c>
      <c r="T96" s="15">
        <f t="shared" si="8"/>
        <v>417.12</v>
      </c>
      <c r="U96" s="15">
        <f t="shared" si="9"/>
        <v>805041.6</v>
      </c>
      <c r="V96" s="15">
        <f t="shared" si="10"/>
        <v>805041.6</v>
      </c>
      <c r="W96" s="15">
        <f t="shared" si="11"/>
        <v>0</v>
      </c>
    </row>
    <row r="97" spans="1:23" ht="15" customHeight="1" x14ac:dyDescent="0.2">
      <c r="A97" s="14" t="s">
        <v>2176</v>
      </c>
      <c r="B97" s="14" t="s">
        <v>2177</v>
      </c>
      <c r="C97" s="14" t="s">
        <v>2094</v>
      </c>
      <c r="D97" s="14" t="s">
        <v>47</v>
      </c>
      <c r="E97" s="14" t="s">
        <v>1988</v>
      </c>
      <c r="F97" s="14">
        <v>3281</v>
      </c>
      <c r="G97" s="15">
        <v>261.95</v>
      </c>
      <c r="H97" s="16">
        <v>45553</v>
      </c>
      <c r="I97" s="16">
        <v>45528</v>
      </c>
      <c r="J97" s="16"/>
      <c r="K97" s="14" t="s">
        <v>2004</v>
      </c>
      <c r="L97" s="16" t="str">
        <f>IF(D97="Packaging","",IF(ISNUMBER(J97),J97,IF(ISNUMBER(I97),EDATE(I97,VLOOKUP(D97,Assumptions!$A$10:$B$16,2,0)),"")))</f>
        <v/>
      </c>
      <c r="M97" s="14" t="str">
        <f>IF(ISNUMBER(L97),L97-Assumptions!$B$5,"")</f>
        <v/>
      </c>
      <c r="N97" s="17">
        <f t="shared" si="6"/>
        <v>0</v>
      </c>
      <c r="O97" s="14">
        <f>IF(COUNTIF(Assumptions!$A$25:$A$27,A97)&gt;0,1,0)</f>
        <v>0</v>
      </c>
      <c r="P97" s="14">
        <f>IF(COUNTIF(Assumptions!$B$25:$B$26,A97)&gt;0,1,0)</f>
        <v>0</v>
      </c>
      <c r="Q97" s="14">
        <f>IF(COUNTIF(Assumptions!$C$25:$C$25,A97)&gt;0,1,0)</f>
        <v>0</v>
      </c>
      <c r="R97" s="17">
        <f t="shared" si="7"/>
        <v>0</v>
      </c>
      <c r="S97" s="15" t="str">
        <f>IFERROR(VLOOKUP(A97,Assumptions!$A$31:$B$33,2,0),"")</f>
        <v/>
      </c>
      <c r="T97" s="15">
        <f t="shared" si="8"/>
        <v>261.95</v>
      </c>
      <c r="U97" s="15">
        <f t="shared" si="9"/>
        <v>859457.95</v>
      </c>
      <c r="V97" s="15">
        <f t="shared" si="10"/>
        <v>859457.95</v>
      </c>
      <c r="W97" s="15">
        <f t="shared" si="11"/>
        <v>0</v>
      </c>
    </row>
    <row r="98" spans="1:23" ht="15" customHeight="1" x14ac:dyDescent="0.2">
      <c r="A98" s="14" t="s">
        <v>2178</v>
      </c>
      <c r="B98" s="14" t="s">
        <v>2179</v>
      </c>
      <c r="C98" s="14" t="s">
        <v>2101</v>
      </c>
      <c r="D98" s="14" t="s">
        <v>46</v>
      </c>
      <c r="E98" s="14" t="s">
        <v>1988</v>
      </c>
      <c r="F98" s="14">
        <v>369</v>
      </c>
      <c r="G98" s="15">
        <v>321.77</v>
      </c>
      <c r="H98" s="16">
        <v>46003</v>
      </c>
      <c r="I98" s="16">
        <v>46530</v>
      </c>
      <c r="J98" s="16"/>
      <c r="K98" s="14" t="s">
        <v>2004</v>
      </c>
      <c r="L98" s="16">
        <f>IF(D98="Packaging","",IF(ISNUMBER(J98),J98,IF(ISNUMBER(I98),EDATE(I98,VLOOKUP(D98,Assumptions!$A$10:$B$16,2,0)),"")))</f>
        <v>46806</v>
      </c>
      <c r="M98" s="14">
        <f>IF(ISNUMBER(L98),L98-Assumptions!$B$5,"")</f>
        <v>784</v>
      </c>
      <c r="N98" s="17">
        <f t="shared" si="6"/>
        <v>0</v>
      </c>
      <c r="O98" s="14">
        <f>IF(COUNTIF(Assumptions!$A$25:$A$27,A98)&gt;0,1,0)</f>
        <v>0</v>
      </c>
      <c r="P98" s="14">
        <f>IF(COUNTIF(Assumptions!$B$25:$B$26,A98)&gt;0,1,0)</f>
        <v>0</v>
      </c>
      <c r="Q98" s="14">
        <f>IF(COUNTIF(Assumptions!$C$25:$C$25,A98)&gt;0,1,0)</f>
        <v>0</v>
      </c>
      <c r="R98" s="17">
        <f t="shared" si="7"/>
        <v>0</v>
      </c>
      <c r="S98" s="15" t="str">
        <f>IFERROR(VLOOKUP(A98,Assumptions!$A$31:$B$33,2,0),"")</f>
        <v/>
      </c>
      <c r="T98" s="15">
        <f t="shared" si="8"/>
        <v>321.77</v>
      </c>
      <c r="U98" s="15">
        <f t="shared" si="9"/>
        <v>118733.12999999999</v>
      </c>
      <c r="V98" s="15">
        <f t="shared" si="10"/>
        <v>118733.12999999999</v>
      </c>
      <c r="W98" s="15">
        <f t="shared" si="11"/>
        <v>0</v>
      </c>
    </row>
    <row r="99" spans="1:23" ht="15" customHeight="1" x14ac:dyDescent="0.2">
      <c r="A99" s="14" t="s">
        <v>249</v>
      </c>
      <c r="B99" s="14" t="s">
        <v>248</v>
      </c>
      <c r="C99" s="14" t="s">
        <v>2043</v>
      </c>
      <c r="D99" s="14" t="s">
        <v>39</v>
      </c>
      <c r="E99" s="14" t="s">
        <v>1988</v>
      </c>
      <c r="F99" s="14">
        <v>2250</v>
      </c>
      <c r="G99" s="15">
        <v>295.99</v>
      </c>
      <c r="H99" s="16">
        <v>45589</v>
      </c>
      <c r="I99" s="16">
        <v>45543</v>
      </c>
      <c r="J99" s="16">
        <v>46638</v>
      </c>
      <c r="K99" s="14" t="s">
        <v>1994</v>
      </c>
      <c r="L99" s="16">
        <f>IF(D99="Packaging","",IF(ISNUMBER(J99),J99,IF(ISNUMBER(I99),EDATE(I99,VLOOKUP(D99,Assumptions!$A$10:$B$16,2,0)),"")))</f>
        <v>46638</v>
      </c>
      <c r="M99" s="14">
        <f>IF(ISNUMBER(L99),L99-Assumptions!$B$5,"")</f>
        <v>616</v>
      </c>
      <c r="N99" s="17">
        <f t="shared" si="6"/>
        <v>0</v>
      </c>
      <c r="O99" s="14">
        <f>IF(COUNTIF(Assumptions!$A$25:$A$27,A99)&gt;0,1,0)</f>
        <v>0</v>
      </c>
      <c r="P99" s="14">
        <f>IF(COUNTIF(Assumptions!$B$25:$B$26,A99)&gt;0,1,0)</f>
        <v>0</v>
      </c>
      <c r="Q99" s="14">
        <f>IF(COUNTIF(Assumptions!$C$25:$C$25,A99)&gt;0,1,0)</f>
        <v>0</v>
      </c>
      <c r="R99" s="17">
        <f t="shared" si="7"/>
        <v>0</v>
      </c>
      <c r="S99" s="15" t="str">
        <f>IFERROR(VLOOKUP(A99,Assumptions!$A$31:$B$33,2,0),"")</f>
        <v/>
      </c>
      <c r="T99" s="15">
        <f t="shared" si="8"/>
        <v>295.99</v>
      </c>
      <c r="U99" s="15">
        <f t="shared" si="9"/>
        <v>665977.5</v>
      </c>
      <c r="V99" s="15">
        <f t="shared" si="10"/>
        <v>665977.5</v>
      </c>
      <c r="W99" s="15">
        <f t="shared" si="11"/>
        <v>0</v>
      </c>
    </row>
    <row r="100" spans="1:23" ht="15" customHeight="1" x14ac:dyDescent="0.2">
      <c r="A100" s="14" t="s">
        <v>2180</v>
      </c>
      <c r="B100" s="14" t="s">
        <v>2181</v>
      </c>
      <c r="C100" s="14" t="s">
        <v>2076</v>
      </c>
      <c r="D100" s="14" t="s">
        <v>45</v>
      </c>
      <c r="E100" s="14" t="s">
        <v>1988</v>
      </c>
      <c r="F100" s="14">
        <v>667</v>
      </c>
      <c r="G100" s="15">
        <v>119.54</v>
      </c>
      <c r="H100" s="16">
        <v>46005</v>
      </c>
      <c r="I100" s="16">
        <v>46229</v>
      </c>
      <c r="J100" s="16"/>
      <c r="K100" s="14" t="s">
        <v>2004</v>
      </c>
      <c r="L100" s="16">
        <f>IF(D100="Packaging","",IF(ISNUMBER(J100),J100,IF(ISNUMBER(I100),EDATE(I100,VLOOKUP(D100,Assumptions!$A$10:$B$16,2,0)),"")))</f>
        <v>46413</v>
      </c>
      <c r="M100" s="14">
        <f>IF(ISNUMBER(L100),L100-Assumptions!$B$5,"")</f>
        <v>391</v>
      </c>
      <c r="N100" s="17">
        <f t="shared" si="6"/>
        <v>0</v>
      </c>
      <c r="O100" s="14">
        <f>IF(COUNTIF(Assumptions!$A$25:$A$27,A100)&gt;0,1,0)</f>
        <v>0</v>
      </c>
      <c r="P100" s="14">
        <f>IF(COUNTIF(Assumptions!$B$25:$B$26,A100)&gt;0,1,0)</f>
        <v>0</v>
      </c>
      <c r="Q100" s="14">
        <f>IF(COUNTIF(Assumptions!$C$25:$C$25,A100)&gt;0,1,0)</f>
        <v>0</v>
      </c>
      <c r="R100" s="17">
        <f t="shared" si="7"/>
        <v>0</v>
      </c>
      <c r="S100" s="15" t="str">
        <f>IFERROR(VLOOKUP(A100,Assumptions!$A$31:$B$33,2,0),"")</f>
        <v/>
      </c>
      <c r="T100" s="15">
        <f t="shared" si="8"/>
        <v>119.54</v>
      </c>
      <c r="U100" s="15">
        <f t="shared" si="9"/>
        <v>79733.180000000008</v>
      </c>
      <c r="V100" s="15">
        <f t="shared" si="10"/>
        <v>79733.180000000008</v>
      </c>
      <c r="W100" s="15">
        <f t="shared" si="11"/>
        <v>0</v>
      </c>
    </row>
    <row r="101" spans="1:23" ht="15" customHeight="1" x14ac:dyDescent="0.2">
      <c r="A101" s="14" t="s">
        <v>2182</v>
      </c>
      <c r="B101" s="14" t="s">
        <v>2183</v>
      </c>
      <c r="C101" s="14" t="s">
        <v>2066</v>
      </c>
      <c r="D101" s="14" t="s">
        <v>42</v>
      </c>
      <c r="E101" s="14" t="s">
        <v>1988</v>
      </c>
      <c r="F101" s="14">
        <v>1285</v>
      </c>
      <c r="G101" s="15">
        <v>377.75</v>
      </c>
      <c r="H101" s="16">
        <v>46013</v>
      </c>
      <c r="I101" s="16">
        <v>46482</v>
      </c>
      <c r="J101" s="16">
        <v>46848</v>
      </c>
      <c r="K101" s="14" t="s">
        <v>2004</v>
      </c>
      <c r="L101" s="16">
        <f>IF(D101="Packaging","",IF(ISNUMBER(J101),J101,IF(ISNUMBER(I101),EDATE(I101,VLOOKUP(D101,Assumptions!$A$10:$B$16,2,0)),"")))</f>
        <v>46848</v>
      </c>
      <c r="M101" s="14">
        <f>IF(ISNUMBER(L101),L101-Assumptions!$B$5,"")</f>
        <v>826</v>
      </c>
      <c r="N101" s="17">
        <f t="shared" si="6"/>
        <v>0</v>
      </c>
      <c r="O101" s="14">
        <f>IF(COUNTIF(Assumptions!$A$25:$A$27,A101)&gt;0,1,0)</f>
        <v>0</v>
      </c>
      <c r="P101" s="14">
        <f>IF(COUNTIF(Assumptions!$B$25:$B$26,A101)&gt;0,1,0)</f>
        <v>0</v>
      </c>
      <c r="Q101" s="14">
        <f>IF(COUNTIF(Assumptions!$C$25:$C$25,A101)&gt;0,1,0)</f>
        <v>0</v>
      </c>
      <c r="R101" s="17">
        <f t="shared" si="7"/>
        <v>0</v>
      </c>
      <c r="S101" s="15" t="str">
        <f>IFERROR(VLOOKUP(A101,Assumptions!$A$31:$B$33,2,0),"")</f>
        <v/>
      </c>
      <c r="T101" s="15">
        <f t="shared" si="8"/>
        <v>377.75</v>
      </c>
      <c r="U101" s="15">
        <f t="shared" si="9"/>
        <v>485408.75</v>
      </c>
      <c r="V101" s="15">
        <f t="shared" si="10"/>
        <v>485408.75</v>
      </c>
      <c r="W101" s="15">
        <f t="shared" si="11"/>
        <v>0</v>
      </c>
    </row>
    <row r="102" spans="1:23" ht="15" customHeight="1" x14ac:dyDescent="0.2">
      <c r="A102" s="14" t="s">
        <v>2184</v>
      </c>
      <c r="B102" s="14" t="s">
        <v>2185</v>
      </c>
      <c r="C102" s="14" t="s">
        <v>2049</v>
      </c>
      <c r="D102" s="14" t="s">
        <v>42</v>
      </c>
      <c r="E102" s="14" t="s">
        <v>2014</v>
      </c>
      <c r="F102" s="14">
        <v>132</v>
      </c>
      <c r="G102" s="15">
        <v>16.809999999999999</v>
      </c>
      <c r="H102" s="16">
        <v>46013</v>
      </c>
      <c r="I102" s="16">
        <v>46227</v>
      </c>
      <c r="J102" s="16">
        <v>46592</v>
      </c>
      <c r="K102" s="14" t="s">
        <v>2021</v>
      </c>
      <c r="L102" s="16">
        <f>IF(D102="Packaging","",IF(ISNUMBER(J102),J102,IF(ISNUMBER(I102),EDATE(I102,VLOOKUP(D102,Assumptions!$A$10:$B$16,2,0)),"")))</f>
        <v>46592</v>
      </c>
      <c r="M102" s="14">
        <f>IF(ISNUMBER(L102),L102-Assumptions!$B$5,"")</f>
        <v>570</v>
      </c>
      <c r="N102" s="17">
        <f t="shared" si="6"/>
        <v>0</v>
      </c>
      <c r="O102" s="14">
        <f>IF(COUNTIF(Assumptions!$A$25:$A$27,A102)&gt;0,1,0)</f>
        <v>0</v>
      </c>
      <c r="P102" s="14">
        <f>IF(COUNTIF(Assumptions!$B$25:$B$26,A102)&gt;0,1,0)</f>
        <v>0</v>
      </c>
      <c r="Q102" s="14">
        <f>IF(COUNTIF(Assumptions!$C$25:$C$25,A102)&gt;0,1,0)</f>
        <v>0</v>
      </c>
      <c r="R102" s="17">
        <f t="shared" si="7"/>
        <v>0</v>
      </c>
      <c r="S102" s="15" t="str">
        <f>IFERROR(VLOOKUP(A102,Assumptions!$A$31:$B$33,2,0),"")</f>
        <v/>
      </c>
      <c r="T102" s="15">
        <f t="shared" si="8"/>
        <v>16.809999999999999</v>
      </c>
      <c r="U102" s="15">
        <f t="shared" si="9"/>
        <v>2218.9199999999996</v>
      </c>
      <c r="V102" s="15">
        <f t="shared" si="10"/>
        <v>2218.9199999999996</v>
      </c>
      <c r="W102" s="15">
        <f t="shared" si="11"/>
        <v>0</v>
      </c>
    </row>
    <row r="103" spans="1:23" ht="15" customHeight="1" x14ac:dyDescent="0.2">
      <c r="A103" s="14" t="s">
        <v>2186</v>
      </c>
      <c r="B103" s="14" t="s">
        <v>2187</v>
      </c>
      <c r="C103" s="14" t="s">
        <v>2000</v>
      </c>
      <c r="D103" s="14" t="s">
        <v>45</v>
      </c>
      <c r="E103" s="14" t="s">
        <v>2014</v>
      </c>
      <c r="F103" s="14">
        <v>1572</v>
      </c>
      <c r="G103" s="15">
        <v>80.05</v>
      </c>
      <c r="H103" s="16">
        <v>45990</v>
      </c>
      <c r="I103" s="16">
        <v>46568</v>
      </c>
      <c r="J103" s="16">
        <v>46751</v>
      </c>
      <c r="K103" s="14" t="s">
        <v>2021</v>
      </c>
      <c r="L103" s="16">
        <f>IF(D103="Packaging","",IF(ISNUMBER(J103),J103,IF(ISNUMBER(I103),EDATE(I103,VLOOKUP(D103,Assumptions!$A$10:$B$16,2,0)),"")))</f>
        <v>46751</v>
      </c>
      <c r="M103" s="14">
        <f>IF(ISNUMBER(L103),L103-Assumptions!$B$5,"")</f>
        <v>729</v>
      </c>
      <c r="N103" s="17">
        <f t="shared" si="6"/>
        <v>0</v>
      </c>
      <c r="O103" s="14">
        <f>IF(COUNTIF(Assumptions!$A$25:$A$27,A103)&gt;0,1,0)</f>
        <v>0</v>
      </c>
      <c r="P103" s="14">
        <f>IF(COUNTIF(Assumptions!$B$25:$B$26,A103)&gt;0,1,0)</f>
        <v>0</v>
      </c>
      <c r="Q103" s="14">
        <f>IF(COUNTIF(Assumptions!$C$25:$C$25,A103)&gt;0,1,0)</f>
        <v>0</v>
      </c>
      <c r="R103" s="17">
        <f t="shared" si="7"/>
        <v>0</v>
      </c>
      <c r="S103" s="15" t="str">
        <f>IFERROR(VLOOKUP(A103,Assumptions!$A$31:$B$33,2,0),"")</f>
        <v/>
      </c>
      <c r="T103" s="15">
        <f t="shared" si="8"/>
        <v>80.05</v>
      </c>
      <c r="U103" s="15">
        <f t="shared" si="9"/>
        <v>125838.59999999999</v>
      </c>
      <c r="V103" s="15">
        <f t="shared" si="10"/>
        <v>125838.59999999999</v>
      </c>
      <c r="W103" s="15">
        <f t="shared" si="11"/>
        <v>0</v>
      </c>
    </row>
    <row r="104" spans="1:23" ht="15" customHeight="1" x14ac:dyDescent="0.2">
      <c r="A104" s="14" t="s">
        <v>2188</v>
      </c>
      <c r="B104" s="14" t="s">
        <v>2189</v>
      </c>
      <c r="C104" s="14" t="s">
        <v>2107</v>
      </c>
      <c r="D104" s="14" t="s">
        <v>42</v>
      </c>
      <c r="E104" s="14" t="s">
        <v>2037</v>
      </c>
      <c r="F104" s="14">
        <v>3255</v>
      </c>
      <c r="G104" s="15">
        <v>342.38</v>
      </c>
      <c r="H104" s="16">
        <v>46007</v>
      </c>
      <c r="I104" s="16">
        <v>46087</v>
      </c>
      <c r="J104" s="16"/>
      <c r="K104" s="14" t="s">
        <v>2030</v>
      </c>
      <c r="L104" s="16">
        <f>IF(D104="Packaging","",IF(ISNUMBER(J104),J104,IF(ISNUMBER(I104),EDATE(I104,VLOOKUP(D104,Assumptions!$A$10:$B$16,2,0)),"")))</f>
        <v>46452</v>
      </c>
      <c r="M104" s="14">
        <f>IF(ISNUMBER(L104),L104-Assumptions!$B$5,"")</f>
        <v>430</v>
      </c>
      <c r="N104" s="17">
        <f t="shared" si="6"/>
        <v>0</v>
      </c>
      <c r="O104" s="14">
        <f>IF(COUNTIF(Assumptions!$A$25:$A$27,A104)&gt;0,1,0)</f>
        <v>0</v>
      </c>
      <c r="P104" s="14">
        <f>IF(COUNTIF(Assumptions!$B$25:$B$26,A104)&gt;0,1,0)</f>
        <v>0</v>
      </c>
      <c r="Q104" s="14">
        <f>IF(COUNTIF(Assumptions!$C$25:$C$25,A104)&gt;0,1,0)</f>
        <v>0</v>
      </c>
      <c r="R104" s="17">
        <f t="shared" si="7"/>
        <v>0</v>
      </c>
      <c r="S104" s="15" t="str">
        <f>IFERROR(VLOOKUP(A104,Assumptions!$A$31:$B$33,2,0),"")</f>
        <v/>
      </c>
      <c r="T104" s="15">
        <f t="shared" si="8"/>
        <v>342.38</v>
      </c>
      <c r="U104" s="15">
        <f t="shared" si="9"/>
        <v>1114446.8999999999</v>
      </c>
      <c r="V104" s="15">
        <f t="shared" si="10"/>
        <v>1114446.8999999999</v>
      </c>
      <c r="W104" s="15">
        <f t="shared" si="11"/>
        <v>0</v>
      </c>
    </row>
    <row r="105" spans="1:23" ht="15" customHeight="1" x14ac:dyDescent="0.2">
      <c r="A105" s="14" t="s">
        <v>2190</v>
      </c>
      <c r="B105" s="14" t="s">
        <v>2191</v>
      </c>
      <c r="C105" s="14" t="s">
        <v>1992</v>
      </c>
      <c r="D105" s="14" t="s">
        <v>45</v>
      </c>
      <c r="E105" s="14" t="s">
        <v>2037</v>
      </c>
      <c r="F105" s="14">
        <v>4320</v>
      </c>
      <c r="G105" s="15">
        <v>411.12</v>
      </c>
      <c r="H105" s="16">
        <v>45966</v>
      </c>
      <c r="I105" s="16">
        <v>46339</v>
      </c>
      <c r="J105" s="16">
        <v>46520</v>
      </c>
      <c r="K105" s="14" t="s">
        <v>1994</v>
      </c>
      <c r="L105" s="16">
        <f>IF(D105="Packaging","",IF(ISNUMBER(J105),J105,IF(ISNUMBER(I105),EDATE(I105,VLOOKUP(D105,Assumptions!$A$10:$B$16,2,0)),"")))</f>
        <v>46520</v>
      </c>
      <c r="M105" s="14">
        <f>IF(ISNUMBER(L105),L105-Assumptions!$B$5,"")</f>
        <v>498</v>
      </c>
      <c r="N105" s="17">
        <f t="shared" si="6"/>
        <v>0</v>
      </c>
      <c r="O105" s="14">
        <f>IF(COUNTIF(Assumptions!$A$25:$A$27,A105)&gt;0,1,0)</f>
        <v>0</v>
      </c>
      <c r="P105" s="14">
        <f>IF(COUNTIF(Assumptions!$B$25:$B$26,A105)&gt;0,1,0)</f>
        <v>0</v>
      </c>
      <c r="Q105" s="14">
        <f>IF(COUNTIF(Assumptions!$C$25:$C$25,A105)&gt;0,1,0)</f>
        <v>0</v>
      </c>
      <c r="R105" s="17">
        <f t="shared" si="7"/>
        <v>0</v>
      </c>
      <c r="S105" s="15" t="str">
        <f>IFERROR(VLOOKUP(A105,Assumptions!$A$31:$B$33,2,0),"")</f>
        <v/>
      </c>
      <c r="T105" s="15">
        <f t="shared" si="8"/>
        <v>411.12</v>
      </c>
      <c r="U105" s="15">
        <f t="shared" si="9"/>
        <v>1776038.4</v>
      </c>
      <c r="V105" s="15">
        <f t="shared" si="10"/>
        <v>1776038.4</v>
      </c>
      <c r="W105" s="15">
        <f t="shared" si="11"/>
        <v>0</v>
      </c>
    </row>
    <row r="106" spans="1:23" ht="15" customHeight="1" x14ac:dyDescent="0.2">
      <c r="A106" s="14" t="s">
        <v>257</v>
      </c>
      <c r="B106" s="14" t="s">
        <v>256</v>
      </c>
      <c r="C106" s="14" t="s">
        <v>2192</v>
      </c>
      <c r="D106" s="14" t="s">
        <v>39</v>
      </c>
      <c r="E106" s="14" t="s">
        <v>2037</v>
      </c>
      <c r="F106" s="14">
        <v>4389</v>
      </c>
      <c r="G106" s="15">
        <v>125.79</v>
      </c>
      <c r="H106" s="16">
        <v>45406</v>
      </c>
      <c r="I106" s="16">
        <v>45350</v>
      </c>
      <c r="J106" s="16">
        <v>46446</v>
      </c>
      <c r="K106" s="14" t="s">
        <v>2021</v>
      </c>
      <c r="L106" s="16">
        <f>IF(D106="Packaging","",IF(ISNUMBER(J106),J106,IF(ISNUMBER(I106),EDATE(I106,VLOOKUP(D106,Assumptions!$A$10:$B$16,2,0)),"")))</f>
        <v>46446</v>
      </c>
      <c r="M106" s="14">
        <f>IF(ISNUMBER(L106),L106-Assumptions!$B$5,"")</f>
        <v>424</v>
      </c>
      <c r="N106" s="17">
        <f t="shared" si="6"/>
        <v>0</v>
      </c>
      <c r="O106" s="14">
        <f>IF(COUNTIF(Assumptions!$A$25:$A$27,A106)&gt;0,1,0)</f>
        <v>0</v>
      </c>
      <c r="P106" s="14">
        <f>IF(COUNTIF(Assumptions!$B$25:$B$26,A106)&gt;0,1,0)</f>
        <v>0</v>
      </c>
      <c r="Q106" s="14">
        <f>IF(COUNTIF(Assumptions!$C$25:$C$25,A106)&gt;0,1,0)</f>
        <v>0</v>
      </c>
      <c r="R106" s="17">
        <f t="shared" si="7"/>
        <v>0</v>
      </c>
      <c r="S106" s="15" t="str">
        <f>IFERROR(VLOOKUP(A106,Assumptions!$A$31:$B$33,2,0),"")</f>
        <v/>
      </c>
      <c r="T106" s="15">
        <f t="shared" si="8"/>
        <v>125.79</v>
      </c>
      <c r="U106" s="15">
        <f t="shared" si="9"/>
        <v>552092.31000000006</v>
      </c>
      <c r="V106" s="15">
        <f t="shared" si="10"/>
        <v>552092.31000000006</v>
      </c>
      <c r="W106" s="15">
        <f t="shared" si="11"/>
        <v>0</v>
      </c>
    </row>
    <row r="107" spans="1:23" ht="15" customHeight="1" x14ac:dyDescent="0.2">
      <c r="A107" s="14" t="s">
        <v>2193</v>
      </c>
      <c r="B107" s="14" t="s">
        <v>2194</v>
      </c>
      <c r="C107" s="14" t="s">
        <v>2089</v>
      </c>
      <c r="D107" s="14" t="s">
        <v>46</v>
      </c>
      <c r="E107" s="14" t="s">
        <v>2014</v>
      </c>
      <c r="F107" s="14">
        <v>3845</v>
      </c>
      <c r="G107" s="15">
        <v>150.11000000000001</v>
      </c>
      <c r="H107" s="16">
        <v>45990</v>
      </c>
      <c r="I107" s="16">
        <v>46446</v>
      </c>
      <c r="J107" s="16"/>
      <c r="K107" s="14" t="s">
        <v>2030</v>
      </c>
      <c r="L107" s="16">
        <f>IF(D107="Packaging","",IF(ISNUMBER(J107),J107,IF(ISNUMBER(I107),EDATE(I107,VLOOKUP(D107,Assumptions!$A$10:$B$16,2,0)),"")))</f>
        <v>46719</v>
      </c>
      <c r="M107" s="14">
        <f>IF(ISNUMBER(L107),L107-Assumptions!$B$5,"")</f>
        <v>697</v>
      </c>
      <c r="N107" s="17">
        <f t="shared" si="6"/>
        <v>0</v>
      </c>
      <c r="O107" s="14">
        <f>IF(COUNTIF(Assumptions!$A$25:$A$27,A107)&gt;0,1,0)</f>
        <v>0</v>
      </c>
      <c r="P107" s="14">
        <f>IF(COUNTIF(Assumptions!$B$25:$B$26,A107)&gt;0,1,0)</f>
        <v>0</v>
      </c>
      <c r="Q107" s="14">
        <f>IF(COUNTIF(Assumptions!$C$25:$C$25,A107)&gt;0,1,0)</f>
        <v>0</v>
      </c>
      <c r="R107" s="17">
        <f t="shared" si="7"/>
        <v>0</v>
      </c>
      <c r="S107" s="15" t="str">
        <f>IFERROR(VLOOKUP(A107,Assumptions!$A$31:$B$33,2,0),"")</f>
        <v/>
      </c>
      <c r="T107" s="15">
        <f t="shared" si="8"/>
        <v>150.11000000000001</v>
      </c>
      <c r="U107" s="15">
        <f t="shared" si="9"/>
        <v>577172.95000000007</v>
      </c>
      <c r="V107" s="15">
        <f t="shared" si="10"/>
        <v>577172.95000000007</v>
      </c>
      <c r="W107" s="15">
        <f t="shared" si="11"/>
        <v>0</v>
      </c>
    </row>
    <row r="108" spans="1:23" ht="15" customHeight="1" x14ac:dyDescent="0.2">
      <c r="A108" s="14" t="s">
        <v>2195</v>
      </c>
      <c r="B108" s="14" t="s">
        <v>2196</v>
      </c>
      <c r="C108" s="14" t="s">
        <v>2003</v>
      </c>
      <c r="D108" s="14" t="s">
        <v>46</v>
      </c>
      <c r="E108" s="14" t="s">
        <v>1993</v>
      </c>
      <c r="F108" s="14">
        <v>4984</v>
      </c>
      <c r="G108" s="15">
        <v>22.55</v>
      </c>
      <c r="H108" s="16">
        <v>45966</v>
      </c>
      <c r="I108" s="16">
        <v>46490</v>
      </c>
      <c r="J108" s="16"/>
      <c r="K108" s="14" t="s">
        <v>2015</v>
      </c>
      <c r="L108" s="16">
        <f>IF(D108="Packaging","",IF(ISNUMBER(J108),J108,IF(ISNUMBER(I108),EDATE(I108,VLOOKUP(D108,Assumptions!$A$10:$B$16,2,0)),"")))</f>
        <v>46765</v>
      </c>
      <c r="M108" s="14">
        <f>IF(ISNUMBER(L108),L108-Assumptions!$B$5,"")</f>
        <v>743</v>
      </c>
      <c r="N108" s="17">
        <f t="shared" si="6"/>
        <v>0</v>
      </c>
      <c r="O108" s="14">
        <f>IF(COUNTIF(Assumptions!$A$25:$A$27,A108)&gt;0,1,0)</f>
        <v>0</v>
      </c>
      <c r="P108" s="14">
        <f>IF(COUNTIF(Assumptions!$B$25:$B$26,A108)&gt;0,1,0)</f>
        <v>0</v>
      </c>
      <c r="Q108" s="14">
        <f>IF(COUNTIF(Assumptions!$C$25:$C$25,A108)&gt;0,1,0)</f>
        <v>0</v>
      </c>
      <c r="R108" s="17">
        <f t="shared" si="7"/>
        <v>0</v>
      </c>
      <c r="S108" s="15" t="str">
        <f>IFERROR(VLOOKUP(A108,Assumptions!$A$31:$B$33,2,0),"")</f>
        <v/>
      </c>
      <c r="T108" s="15">
        <f t="shared" si="8"/>
        <v>22.55</v>
      </c>
      <c r="U108" s="15">
        <f t="shared" si="9"/>
        <v>112389.2</v>
      </c>
      <c r="V108" s="15">
        <f t="shared" si="10"/>
        <v>112389.2</v>
      </c>
      <c r="W108" s="15">
        <f t="shared" si="11"/>
        <v>0</v>
      </c>
    </row>
    <row r="109" spans="1:23" ht="15" customHeight="1" x14ac:dyDescent="0.2">
      <c r="A109" s="14" t="s">
        <v>2197</v>
      </c>
      <c r="B109" s="14" t="s">
        <v>2198</v>
      </c>
      <c r="C109" s="14" t="s">
        <v>2042</v>
      </c>
      <c r="D109" s="14" t="s">
        <v>47</v>
      </c>
      <c r="E109" s="14" t="s">
        <v>1993</v>
      </c>
      <c r="F109" s="14">
        <v>3098</v>
      </c>
      <c r="G109" s="15">
        <v>221.93</v>
      </c>
      <c r="H109" s="16">
        <v>45674</v>
      </c>
      <c r="I109" s="16">
        <v>45667</v>
      </c>
      <c r="J109" s="16"/>
      <c r="K109" s="14" t="s">
        <v>2052</v>
      </c>
      <c r="L109" s="16" t="str">
        <f>IF(D109="Packaging","",IF(ISNUMBER(J109),J109,IF(ISNUMBER(I109),EDATE(I109,VLOOKUP(D109,Assumptions!$A$10:$B$16,2,0)),"")))</f>
        <v/>
      </c>
      <c r="M109" s="14" t="str">
        <f>IF(ISNUMBER(L109),L109-Assumptions!$B$5,"")</f>
        <v/>
      </c>
      <c r="N109" s="17">
        <f t="shared" si="6"/>
        <v>0</v>
      </c>
      <c r="O109" s="14">
        <f>IF(COUNTIF(Assumptions!$A$25:$A$27,A109)&gt;0,1,0)</f>
        <v>0</v>
      </c>
      <c r="P109" s="14">
        <f>IF(COUNTIF(Assumptions!$B$25:$B$26,A109)&gt;0,1,0)</f>
        <v>0</v>
      </c>
      <c r="Q109" s="14">
        <f>IF(COUNTIF(Assumptions!$C$25:$C$25,A109)&gt;0,1,0)</f>
        <v>0</v>
      </c>
      <c r="R109" s="17">
        <f t="shared" si="7"/>
        <v>0</v>
      </c>
      <c r="S109" s="15" t="str">
        <f>IFERROR(VLOOKUP(A109,Assumptions!$A$31:$B$33,2,0),"")</f>
        <v/>
      </c>
      <c r="T109" s="15">
        <f t="shared" si="8"/>
        <v>221.93</v>
      </c>
      <c r="U109" s="15">
        <f t="shared" si="9"/>
        <v>687539.14</v>
      </c>
      <c r="V109" s="15">
        <f t="shared" si="10"/>
        <v>687539.14</v>
      </c>
      <c r="W109" s="15">
        <f t="shared" si="11"/>
        <v>0</v>
      </c>
    </row>
    <row r="110" spans="1:23" ht="15" customHeight="1" x14ac:dyDescent="0.2">
      <c r="A110" s="14" t="s">
        <v>2199</v>
      </c>
      <c r="B110" s="14" t="s">
        <v>2200</v>
      </c>
      <c r="C110" s="14" t="s">
        <v>2142</v>
      </c>
      <c r="D110" s="14" t="s">
        <v>44</v>
      </c>
      <c r="E110" s="14" t="s">
        <v>1988</v>
      </c>
      <c r="F110" s="14">
        <v>1398</v>
      </c>
      <c r="G110" s="15">
        <v>388.22</v>
      </c>
      <c r="H110" s="16">
        <v>45992</v>
      </c>
      <c r="I110" s="16">
        <v>46161</v>
      </c>
      <c r="J110" s="16"/>
      <c r="K110" s="14" t="s">
        <v>2015</v>
      </c>
      <c r="L110" s="16">
        <f>IF(D110="Packaging","",IF(ISNUMBER(J110),J110,IF(ISNUMBER(I110),EDATE(I110,VLOOKUP(D110,Assumptions!$A$10:$B$16,2,0)),"")))</f>
        <v>46710</v>
      </c>
      <c r="M110" s="14">
        <f>IF(ISNUMBER(L110),L110-Assumptions!$B$5,"")</f>
        <v>688</v>
      </c>
      <c r="N110" s="17">
        <f t="shared" si="6"/>
        <v>0</v>
      </c>
      <c r="O110" s="14">
        <f>IF(COUNTIF(Assumptions!$A$25:$A$27,A110)&gt;0,1,0)</f>
        <v>0</v>
      </c>
      <c r="P110" s="14">
        <f>IF(COUNTIF(Assumptions!$B$25:$B$26,A110)&gt;0,1,0)</f>
        <v>0</v>
      </c>
      <c r="Q110" s="14">
        <f>IF(COUNTIF(Assumptions!$C$25:$C$25,A110)&gt;0,1,0)</f>
        <v>0</v>
      </c>
      <c r="R110" s="17">
        <f t="shared" si="7"/>
        <v>0</v>
      </c>
      <c r="S110" s="15" t="str">
        <f>IFERROR(VLOOKUP(A110,Assumptions!$A$31:$B$33,2,0),"")</f>
        <v/>
      </c>
      <c r="T110" s="15">
        <f t="shared" si="8"/>
        <v>388.22</v>
      </c>
      <c r="U110" s="15">
        <f t="shared" si="9"/>
        <v>542731.56000000006</v>
      </c>
      <c r="V110" s="15">
        <f t="shared" si="10"/>
        <v>542731.56000000006</v>
      </c>
      <c r="W110" s="15">
        <f t="shared" si="11"/>
        <v>0</v>
      </c>
    </row>
    <row r="111" spans="1:23" ht="15" customHeight="1" x14ac:dyDescent="0.2">
      <c r="A111" s="14" t="s">
        <v>2201</v>
      </c>
      <c r="B111" s="14" t="s">
        <v>2202</v>
      </c>
      <c r="C111" s="14" t="s">
        <v>2007</v>
      </c>
      <c r="D111" s="14" t="s">
        <v>47</v>
      </c>
      <c r="E111" s="14" t="s">
        <v>1988</v>
      </c>
      <c r="F111" s="14">
        <v>4332</v>
      </c>
      <c r="G111" s="15">
        <v>185.11</v>
      </c>
      <c r="H111" s="16">
        <v>45570</v>
      </c>
      <c r="I111" s="16">
        <v>45553</v>
      </c>
      <c r="J111" s="16"/>
      <c r="K111" s="14" t="s">
        <v>2021</v>
      </c>
      <c r="L111" s="16" t="str">
        <f>IF(D111="Packaging","",IF(ISNUMBER(J111),J111,IF(ISNUMBER(I111),EDATE(I111,VLOOKUP(D111,Assumptions!$A$10:$B$16,2,0)),"")))</f>
        <v/>
      </c>
      <c r="M111" s="14" t="str">
        <f>IF(ISNUMBER(L111),L111-Assumptions!$B$5,"")</f>
        <v/>
      </c>
      <c r="N111" s="17">
        <f t="shared" si="6"/>
        <v>0</v>
      </c>
      <c r="O111" s="14">
        <f>IF(COUNTIF(Assumptions!$A$25:$A$27,A111)&gt;0,1,0)</f>
        <v>0</v>
      </c>
      <c r="P111" s="14">
        <f>IF(COUNTIF(Assumptions!$B$25:$B$26,A111)&gt;0,1,0)</f>
        <v>0</v>
      </c>
      <c r="Q111" s="14">
        <f>IF(COUNTIF(Assumptions!$C$25:$C$25,A111)&gt;0,1,0)</f>
        <v>0</v>
      </c>
      <c r="R111" s="17">
        <f t="shared" si="7"/>
        <v>0</v>
      </c>
      <c r="S111" s="15" t="str">
        <f>IFERROR(VLOOKUP(A111,Assumptions!$A$31:$B$33,2,0),"")</f>
        <v/>
      </c>
      <c r="T111" s="15">
        <f t="shared" si="8"/>
        <v>185.11</v>
      </c>
      <c r="U111" s="15">
        <f t="shared" si="9"/>
        <v>801896.52</v>
      </c>
      <c r="V111" s="15">
        <f t="shared" si="10"/>
        <v>801896.52</v>
      </c>
      <c r="W111" s="15">
        <f t="shared" si="11"/>
        <v>0</v>
      </c>
    </row>
    <row r="112" spans="1:23" ht="15" customHeight="1" x14ac:dyDescent="0.2">
      <c r="A112" s="14" t="s">
        <v>2203</v>
      </c>
      <c r="B112" s="14" t="s">
        <v>2204</v>
      </c>
      <c r="C112" s="14" t="s">
        <v>2013</v>
      </c>
      <c r="D112" s="14" t="s">
        <v>44</v>
      </c>
      <c r="E112" s="14" t="s">
        <v>2014</v>
      </c>
      <c r="F112" s="14">
        <v>3326</v>
      </c>
      <c r="G112" s="15">
        <v>301.7</v>
      </c>
      <c r="H112" s="16">
        <v>46017</v>
      </c>
      <c r="I112" s="16">
        <v>45984</v>
      </c>
      <c r="J112" s="16"/>
      <c r="K112" s="14" t="s">
        <v>2004</v>
      </c>
      <c r="L112" s="16">
        <f>IF(D112="Packaging","",IF(ISNUMBER(J112),J112,IF(ISNUMBER(I112),EDATE(I112,VLOOKUP(D112,Assumptions!$A$10:$B$16,2,0)),"")))</f>
        <v>46530</v>
      </c>
      <c r="M112" s="14">
        <f>IF(ISNUMBER(L112),L112-Assumptions!$B$5,"")</f>
        <v>508</v>
      </c>
      <c r="N112" s="17">
        <f t="shared" si="6"/>
        <v>0</v>
      </c>
      <c r="O112" s="14">
        <f>IF(COUNTIF(Assumptions!$A$25:$A$27,A112)&gt;0,1,0)</f>
        <v>0</v>
      </c>
      <c r="P112" s="14">
        <f>IF(COUNTIF(Assumptions!$B$25:$B$26,A112)&gt;0,1,0)</f>
        <v>0</v>
      </c>
      <c r="Q112" s="14">
        <f>IF(COUNTIF(Assumptions!$C$25:$C$25,A112)&gt;0,1,0)</f>
        <v>0</v>
      </c>
      <c r="R112" s="17">
        <f t="shared" si="7"/>
        <v>0</v>
      </c>
      <c r="S112" s="15" t="str">
        <f>IFERROR(VLOOKUP(A112,Assumptions!$A$31:$B$33,2,0),"")</f>
        <v/>
      </c>
      <c r="T112" s="15">
        <f t="shared" si="8"/>
        <v>301.7</v>
      </c>
      <c r="U112" s="15">
        <f t="shared" si="9"/>
        <v>1003454.2</v>
      </c>
      <c r="V112" s="15">
        <f t="shared" si="10"/>
        <v>1003454.2</v>
      </c>
      <c r="W112" s="15">
        <f t="shared" si="11"/>
        <v>0</v>
      </c>
    </row>
    <row r="113" spans="1:23" ht="15" customHeight="1" x14ac:dyDescent="0.2">
      <c r="A113" s="14" t="s">
        <v>289</v>
      </c>
      <c r="B113" s="14" t="s">
        <v>288</v>
      </c>
      <c r="C113" s="14" t="s">
        <v>2192</v>
      </c>
      <c r="D113" s="14" t="s">
        <v>39</v>
      </c>
      <c r="E113" s="14" t="s">
        <v>2037</v>
      </c>
      <c r="F113" s="14">
        <v>1627</v>
      </c>
      <c r="G113" s="15">
        <v>372.98</v>
      </c>
      <c r="H113" s="16">
        <v>45431</v>
      </c>
      <c r="I113" s="16">
        <v>45413</v>
      </c>
      <c r="J113" s="16">
        <v>46508</v>
      </c>
      <c r="K113" s="14" t="s">
        <v>2015</v>
      </c>
      <c r="L113" s="16">
        <f>IF(D113="Packaging","",IF(ISNUMBER(J113),J113,IF(ISNUMBER(I113),EDATE(I113,VLOOKUP(D113,Assumptions!$A$10:$B$16,2,0)),"")))</f>
        <v>46508</v>
      </c>
      <c r="M113" s="14">
        <f>IF(ISNUMBER(L113),L113-Assumptions!$B$5,"")</f>
        <v>486</v>
      </c>
      <c r="N113" s="17">
        <f t="shared" si="6"/>
        <v>0</v>
      </c>
      <c r="O113" s="14">
        <f>IF(COUNTIF(Assumptions!$A$25:$A$27,A113)&gt;0,1,0)</f>
        <v>0</v>
      </c>
      <c r="P113" s="14">
        <f>IF(COUNTIF(Assumptions!$B$25:$B$26,A113)&gt;0,1,0)</f>
        <v>0</v>
      </c>
      <c r="Q113" s="14">
        <f>IF(COUNTIF(Assumptions!$C$25:$C$25,A113)&gt;0,1,0)</f>
        <v>0</v>
      </c>
      <c r="R113" s="17">
        <f t="shared" si="7"/>
        <v>0</v>
      </c>
      <c r="S113" s="15" t="str">
        <f>IFERROR(VLOOKUP(A113,Assumptions!$A$31:$B$33,2,0),"")</f>
        <v/>
      </c>
      <c r="T113" s="15">
        <f t="shared" si="8"/>
        <v>372.98</v>
      </c>
      <c r="U113" s="15">
        <f t="shared" si="9"/>
        <v>606838.46000000008</v>
      </c>
      <c r="V113" s="15">
        <f t="shared" si="10"/>
        <v>606838.46000000008</v>
      </c>
      <c r="W113" s="15">
        <f t="shared" si="11"/>
        <v>0</v>
      </c>
    </row>
    <row r="114" spans="1:23" ht="15" customHeight="1" x14ac:dyDescent="0.2">
      <c r="A114" s="14" t="s">
        <v>226</v>
      </c>
      <c r="B114" s="14" t="s">
        <v>225</v>
      </c>
      <c r="C114" s="14" t="s">
        <v>1987</v>
      </c>
      <c r="D114" s="14" t="s">
        <v>36</v>
      </c>
      <c r="E114" s="14" t="s">
        <v>1993</v>
      </c>
      <c r="F114" s="14">
        <v>3368</v>
      </c>
      <c r="G114" s="15">
        <v>373.94</v>
      </c>
      <c r="H114" s="16">
        <v>45561</v>
      </c>
      <c r="I114" s="16">
        <v>45534</v>
      </c>
      <c r="J114" s="16"/>
      <c r="K114" s="14" t="s">
        <v>1989</v>
      </c>
      <c r="L114" s="16">
        <f>IF(D114="Packaging","",IF(ISNUMBER(J114),J114,IF(ISNUMBER(I114),EDATE(I114,VLOOKUP(D114,Assumptions!$A$10:$B$16,2,0)),"")))</f>
        <v>46264</v>
      </c>
      <c r="M114" s="14">
        <f>IF(ISNUMBER(L114),L114-Assumptions!$B$5,"")</f>
        <v>242</v>
      </c>
      <c r="N114" s="17">
        <f t="shared" si="6"/>
        <v>0</v>
      </c>
      <c r="O114" s="14">
        <f>IF(COUNTIF(Assumptions!$A$25:$A$27,A114)&gt;0,1,0)</f>
        <v>0</v>
      </c>
      <c r="P114" s="14">
        <f>IF(COUNTIF(Assumptions!$B$25:$B$26,A114)&gt;0,1,0)</f>
        <v>0</v>
      </c>
      <c r="Q114" s="14">
        <f>IF(COUNTIF(Assumptions!$C$25:$C$25,A114)&gt;0,1,0)</f>
        <v>0</v>
      </c>
      <c r="R114" s="17">
        <f t="shared" si="7"/>
        <v>0</v>
      </c>
      <c r="S114" s="15" t="str">
        <f>IFERROR(VLOOKUP(A114,Assumptions!$A$31:$B$33,2,0),"")</f>
        <v/>
      </c>
      <c r="T114" s="15">
        <f t="shared" si="8"/>
        <v>373.94</v>
      </c>
      <c r="U114" s="15">
        <f t="shared" si="9"/>
        <v>1259429.92</v>
      </c>
      <c r="V114" s="15">
        <f t="shared" si="10"/>
        <v>1259429.92</v>
      </c>
      <c r="W114" s="15">
        <f t="shared" si="11"/>
        <v>0</v>
      </c>
    </row>
    <row r="115" spans="1:23" ht="15" customHeight="1" x14ac:dyDescent="0.2">
      <c r="A115" s="14" t="s">
        <v>324</v>
      </c>
      <c r="B115" s="14" t="s">
        <v>323</v>
      </c>
      <c r="C115" s="14" t="s">
        <v>2022</v>
      </c>
      <c r="D115" s="14" t="s">
        <v>39</v>
      </c>
      <c r="E115" s="14" t="s">
        <v>2037</v>
      </c>
      <c r="F115" s="14">
        <v>78</v>
      </c>
      <c r="G115" s="15">
        <v>283.44</v>
      </c>
      <c r="H115" s="16">
        <v>45285</v>
      </c>
      <c r="I115" s="16">
        <v>45195</v>
      </c>
      <c r="J115" s="16">
        <v>46291</v>
      </c>
      <c r="K115" s="14" t="s">
        <v>2030</v>
      </c>
      <c r="L115" s="16">
        <f>IF(D115="Packaging","",IF(ISNUMBER(J115),J115,IF(ISNUMBER(I115),EDATE(I115,VLOOKUP(D115,Assumptions!$A$10:$B$16,2,0)),"")))</f>
        <v>46291</v>
      </c>
      <c r="M115" s="14">
        <f>IF(ISNUMBER(L115),L115-Assumptions!$B$5,"")</f>
        <v>269</v>
      </c>
      <c r="N115" s="17">
        <f t="shared" si="6"/>
        <v>0</v>
      </c>
      <c r="O115" s="14">
        <f>IF(COUNTIF(Assumptions!$A$25:$A$27,A115)&gt;0,1,0)</f>
        <v>0</v>
      </c>
      <c r="P115" s="14">
        <f>IF(COUNTIF(Assumptions!$B$25:$B$26,A115)&gt;0,1,0)</f>
        <v>0</v>
      </c>
      <c r="Q115" s="14">
        <f>IF(COUNTIF(Assumptions!$C$25:$C$25,A115)&gt;0,1,0)</f>
        <v>0</v>
      </c>
      <c r="R115" s="17">
        <f t="shared" si="7"/>
        <v>0</v>
      </c>
      <c r="S115" s="15" t="str">
        <f>IFERROR(VLOOKUP(A115,Assumptions!$A$31:$B$33,2,0),"")</f>
        <v/>
      </c>
      <c r="T115" s="15">
        <f t="shared" si="8"/>
        <v>283.44</v>
      </c>
      <c r="U115" s="15">
        <f t="shared" si="9"/>
        <v>22108.32</v>
      </c>
      <c r="V115" s="15">
        <f t="shared" si="10"/>
        <v>22108.32</v>
      </c>
      <c r="W115" s="15">
        <f t="shared" si="11"/>
        <v>0</v>
      </c>
    </row>
    <row r="116" spans="1:23" ht="15" customHeight="1" x14ac:dyDescent="0.2">
      <c r="A116" s="14" t="s">
        <v>2205</v>
      </c>
      <c r="B116" s="14" t="s">
        <v>2206</v>
      </c>
      <c r="C116" s="14" t="s">
        <v>2142</v>
      </c>
      <c r="D116" s="14" t="s">
        <v>44</v>
      </c>
      <c r="E116" s="14" t="s">
        <v>2037</v>
      </c>
      <c r="F116" s="14">
        <v>3368</v>
      </c>
      <c r="G116" s="15">
        <v>87.94</v>
      </c>
      <c r="H116" s="16">
        <v>45987</v>
      </c>
      <c r="I116" s="16">
        <v>46202</v>
      </c>
      <c r="J116" s="16">
        <v>46750</v>
      </c>
      <c r="K116" s="14" t="s">
        <v>1989</v>
      </c>
      <c r="L116" s="16">
        <f>IF(D116="Packaging","",IF(ISNUMBER(J116),J116,IF(ISNUMBER(I116),EDATE(I116,VLOOKUP(D116,Assumptions!$A$10:$B$16,2,0)),"")))</f>
        <v>46750</v>
      </c>
      <c r="M116" s="14">
        <f>IF(ISNUMBER(L116),L116-Assumptions!$B$5,"")</f>
        <v>728</v>
      </c>
      <c r="N116" s="17">
        <f t="shared" si="6"/>
        <v>0</v>
      </c>
      <c r="O116" s="14">
        <f>IF(COUNTIF(Assumptions!$A$25:$A$27,A116)&gt;0,1,0)</f>
        <v>0</v>
      </c>
      <c r="P116" s="14">
        <f>IF(COUNTIF(Assumptions!$B$25:$B$26,A116)&gt;0,1,0)</f>
        <v>0</v>
      </c>
      <c r="Q116" s="14">
        <f>IF(COUNTIF(Assumptions!$C$25:$C$25,A116)&gt;0,1,0)</f>
        <v>0</v>
      </c>
      <c r="R116" s="17">
        <f t="shared" si="7"/>
        <v>0</v>
      </c>
      <c r="S116" s="15" t="str">
        <f>IFERROR(VLOOKUP(A116,Assumptions!$A$31:$B$33,2,0),"")</f>
        <v/>
      </c>
      <c r="T116" s="15">
        <f t="shared" si="8"/>
        <v>87.94</v>
      </c>
      <c r="U116" s="15">
        <f t="shared" si="9"/>
        <v>296181.92</v>
      </c>
      <c r="V116" s="15">
        <f t="shared" si="10"/>
        <v>296181.92</v>
      </c>
      <c r="W116" s="15">
        <f t="shared" si="11"/>
        <v>0</v>
      </c>
    </row>
    <row r="117" spans="1:23" ht="15" customHeight="1" x14ac:dyDescent="0.2">
      <c r="A117" s="14" t="s">
        <v>327</v>
      </c>
      <c r="B117" s="14" t="s">
        <v>326</v>
      </c>
      <c r="C117" s="14" t="s">
        <v>2022</v>
      </c>
      <c r="D117" s="14" t="s">
        <v>39</v>
      </c>
      <c r="E117" s="14" t="s">
        <v>2037</v>
      </c>
      <c r="F117" s="14">
        <v>1503</v>
      </c>
      <c r="G117" s="15">
        <v>1.7</v>
      </c>
      <c r="H117" s="16">
        <v>45249</v>
      </c>
      <c r="I117" s="16">
        <v>45219</v>
      </c>
      <c r="J117" s="16">
        <v>46315</v>
      </c>
      <c r="K117" s="14" t="s">
        <v>2030</v>
      </c>
      <c r="L117" s="16">
        <f>IF(D117="Packaging","",IF(ISNUMBER(J117),J117,IF(ISNUMBER(I117),EDATE(I117,VLOOKUP(D117,Assumptions!$A$10:$B$16,2,0)),"")))</f>
        <v>46315</v>
      </c>
      <c r="M117" s="14">
        <f>IF(ISNUMBER(L117),L117-Assumptions!$B$5,"")</f>
        <v>293</v>
      </c>
      <c r="N117" s="17">
        <f t="shared" si="6"/>
        <v>0</v>
      </c>
      <c r="O117" s="14">
        <f>IF(COUNTIF(Assumptions!$A$25:$A$27,A117)&gt;0,1,0)</f>
        <v>0</v>
      </c>
      <c r="P117" s="14">
        <f>IF(COUNTIF(Assumptions!$B$25:$B$26,A117)&gt;0,1,0)</f>
        <v>0</v>
      </c>
      <c r="Q117" s="14">
        <f>IF(COUNTIF(Assumptions!$C$25:$C$25,A117)&gt;0,1,0)</f>
        <v>0</v>
      </c>
      <c r="R117" s="17">
        <f t="shared" si="7"/>
        <v>0</v>
      </c>
      <c r="S117" s="15" t="str">
        <f>IFERROR(VLOOKUP(A117,Assumptions!$A$31:$B$33,2,0),"")</f>
        <v/>
      </c>
      <c r="T117" s="15">
        <f t="shared" si="8"/>
        <v>1.7</v>
      </c>
      <c r="U117" s="15">
        <f t="shared" si="9"/>
        <v>2555.1</v>
      </c>
      <c r="V117" s="15">
        <f t="shared" si="10"/>
        <v>2555.1</v>
      </c>
      <c r="W117" s="15">
        <f t="shared" si="11"/>
        <v>0</v>
      </c>
    </row>
    <row r="118" spans="1:23" ht="15" customHeight="1" x14ac:dyDescent="0.2">
      <c r="A118" s="14" t="s">
        <v>2207</v>
      </c>
      <c r="B118" s="14" t="s">
        <v>2208</v>
      </c>
      <c r="C118" s="14" t="s">
        <v>2061</v>
      </c>
      <c r="D118" s="14" t="s">
        <v>44</v>
      </c>
      <c r="E118" s="14" t="s">
        <v>2014</v>
      </c>
      <c r="F118" s="14">
        <v>142</v>
      </c>
      <c r="G118" s="15">
        <v>318.92</v>
      </c>
      <c r="H118" s="16">
        <v>45421</v>
      </c>
      <c r="I118" s="16">
        <v>45384</v>
      </c>
      <c r="J118" s="16">
        <v>45932</v>
      </c>
      <c r="K118" s="14" t="s">
        <v>1989</v>
      </c>
      <c r="L118" s="16">
        <f>IF(D118="Packaging","",IF(ISNUMBER(J118),J118,IF(ISNUMBER(I118),EDATE(I118,VLOOKUP(D118,Assumptions!$A$10:$B$16,2,0)),"")))</f>
        <v>45932</v>
      </c>
      <c r="M118" s="14">
        <f>IF(ISNUMBER(L118),L118-Assumptions!$B$5,"")</f>
        <v>-90</v>
      </c>
      <c r="N118" s="17">
        <f t="shared" si="6"/>
        <v>1</v>
      </c>
      <c r="O118" s="14">
        <f>IF(COUNTIF(Assumptions!$A$25:$A$27,A118)&gt;0,1,0)</f>
        <v>0</v>
      </c>
      <c r="P118" s="14">
        <f>IF(COUNTIF(Assumptions!$B$25:$B$26,A118)&gt;0,1,0)</f>
        <v>0</v>
      </c>
      <c r="Q118" s="14">
        <f>IF(COUNTIF(Assumptions!$C$25:$C$25,A118)&gt;0,1,0)</f>
        <v>0</v>
      </c>
      <c r="R118" s="17">
        <f t="shared" si="7"/>
        <v>1</v>
      </c>
      <c r="S118" s="15" t="str">
        <f>IFERROR(VLOOKUP(A118,Assumptions!$A$31:$B$33,2,0),"")</f>
        <v/>
      </c>
      <c r="T118" s="15">
        <f t="shared" si="8"/>
        <v>318.92</v>
      </c>
      <c r="U118" s="15">
        <f t="shared" si="9"/>
        <v>45286.64</v>
      </c>
      <c r="V118" s="15">
        <f t="shared" si="10"/>
        <v>0</v>
      </c>
      <c r="W118" s="15">
        <f t="shared" si="11"/>
        <v>45286.64</v>
      </c>
    </row>
    <row r="119" spans="1:23" ht="15" customHeight="1" x14ac:dyDescent="0.2">
      <c r="A119" s="14" t="s">
        <v>2209</v>
      </c>
      <c r="B119" s="14" t="s">
        <v>2210</v>
      </c>
      <c r="C119" s="14" t="s">
        <v>2069</v>
      </c>
      <c r="D119" s="14" t="s">
        <v>47</v>
      </c>
      <c r="E119" s="14" t="s">
        <v>1993</v>
      </c>
      <c r="F119" s="14">
        <v>274</v>
      </c>
      <c r="G119" s="15">
        <v>403.46</v>
      </c>
      <c r="H119" s="16">
        <v>45458</v>
      </c>
      <c r="I119" s="16">
        <v>45453</v>
      </c>
      <c r="J119" s="16"/>
      <c r="K119" s="14" t="s">
        <v>2015</v>
      </c>
      <c r="L119" s="16" t="str">
        <f>IF(D119="Packaging","",IF(ISNUMBER(J119),J119,IF(ISNUMBER(I119),EDATE(I119,VLOOKUP(D119,Assumptions!$A$10:$B$16,2,0)),"")))</f>
        <v/>
      </c>
      <c r="M119" s="14" t="str">
        <f>IF(ISNUMBER(L119),L119-Assumptions!$B$5,"")</f>
        <v/>
      </c>
      <c r="N119" s="17">
        <f t="shared" si="6"/>
        <v>0</v>
      </c>
      <c r="O119" s="14">
        <f>IF(COUNTIF(Assumptions!$A$25:$A$27,A119)&gt;0,1,0)</f>
        <v>0</v>
      </c>
      <c r="P119" s="14">
        <f>IF(COUNTIF(Assumptions!$B$25:$B$26,A119)&gt;0,1,0)</f>
        <v>0</v>
      </c>
      <c r="Q119" s="14">
        <f>IF(COUNTIF(Assumptions!$C$25:$C$25,A119)&gt;0,1,0)</f>
        <v>0</v>
      </c>
      <c r="R119" s="17">
        <f t="shared" si="7"/>
        <v>0</v>
      </c>
      <c r="S119" s="15" t="str">
        <f>IFERROR(VLOOKUP(A119,Assumptions!$A$31:$B$33,2,0),"")</f>
        <v/>
      </c>
      <c r="T119" s="15">
        <f t="shared" si="8"/>
        <v>403.46</v>
      </c>
      <c r="U119" s="15">
        <f t="shared" si="9"/>
        <v>110548.04</v>
      </c>
      <c r="V119" s="15">
        <f t="shared" si="10"/>
        <v>110548.04</v>
      </c>
      <c r="W119" s="15">
        <f t="shared" si="11"/>
        <v>0</v>
      </c>
    </row>
    <row r="120" spans="1:23" ht="15" customHeight="1" x14ac:dyDescent="0.2">
      <c r="A120" s="14" t="s">
        <v>2211</v>
      </c>
      <c r="B120" s="14" t="s">
        <v>2212</v>
      </c>
      <c r="C120" s="14" t="s">
        <v>2089</v>
      </c>
      <c r="D120" s="14" t="s">
        <v>46</v>
      </c>
      <c r="E120" s="14" t="s">
        <v>2014</v>
      </c>
      <c r="F120" s="14">
        <v>1536</v>
      </c>
      <c r="G120" s="15">
        <v>0.89</v>
      </c>
      <c r="H120" s="16">
        <v>45972</v>
      </c>
      <c r="I120" s="16">
        <v>46153</v>
      </c>
      <c r="J120" s="16"/>
      <c r="K120" s="14" t="s">
        <v>2015</v>
      </c>
      <c r="L120" s="16">
        <f>IF(D120="Packaging","",IF(ISNUMBER(J120),J120,IF(ISNUMBER(I120),EDATE(I120,VLOOKUP(D120,Assumptions!$A$10:$B$16,2,0)),"")))</f>
        <v>46429</v>
      </c>
      <c r="M120" s="14">
        <f>IF(ISNUMBER(L120),L120-Assumptions!$B$5,"")</f>
        <v>407</v>
      </c>
      <c r="N120" s="17">
        <f t="shared" si="6"/>
        <v>0</v>
      </c>
      <c r="O120" s="14">
        <f>IF(COUNTIF(Assumptions!$A$25:$A$27,A120)&gt;0,1,0)</f>
        <v>0</v>
      </c>
      <c r="P120" s="14">
        <f>IF(COUNTIF(Assumptions!$B$25:$B$26,A120)&gt;0,1,0)</f>
        <v>0</v>
      </c>
      <c r="Q120" s="14">
        <f>IF(COUNTIF(Assumptions!$C$25:$C$25,A120)&gt;0,1,0)</f>
        <v>0</v>
      </c>
      <c r="R120" s="17">
        <f t="shared" si="7"/>
        <v>0</v>
      </c>
      <c r="S120" s="15" t="str">
        <f>IFERROR(VLOOKUP(A120,Assumptions!$A$31:$B$33,2,0),"")</f>
        <v/>
      </c>
      <c r="T120" s="15">
        <f t="shared" si="8"/>
        <v>0.89</v>
      </c>
      <c r="U120" s="15">
        <f t="shared" si="9"/>
        <v>1367.04</v>
      </c>
      <c r="V120" s="15">
        <f t="shared" si="10"/>
        <v>1367.04</v>
      </c>
      <c r="W120" s="15">
        <f t="shared" si="11"/>
        <v>0</v>
      </c>
    </row>
    <row r="121" spans="1:23" ht="15" customHeight="1" x14ac:dyDescent="0.2">
      <c r="A121" s="14" t="s">
        <v>2213</v>
      </c>
      <c r="B121" s="14" t="s">
        <v>2214</v>
      </c>
      <c r="C121" s="14" t="s">
        <v>2042</v>
      </c>
      <c r="D121" s="14" t="s">
        <v>47</v>
      </c>
      <c r="E121" s="14" t="s">
        <v>1993</v>
      </c>
      <c r="F121" s="14">
        <v>4093</v>
      </c>
      <c r="G121" s="15">
        <v>116.92</v>
      </c>
      <c r="H121" s="16">
        <v>45502</v>
      </c>
      <c r="I121" s="16">
        <v>45440</v>
      </c>
      <c r="J121" s="16"/>
      <c r="K121" s="14" t="s">
        <v>1989</v>
      </c>
      <c r="L121" s="16" t="str">
        <f>IF(D121="Packaging","",IF(ISNUMBER(J121),J121,IF(ISNUMBER(I121),EDATE(I121,VLOOKUP(D121,Assumptions!$A$10:$B$16,2,0)),"")))</f>
        <v/>
      </c>
      <c r="M121" s="14" t="str">
        <f>IF(ISNUMBER(L121),L121-Assumptions!$B$5,"")</f>
        <v/>
      </c>
      <c r="N121" s="17">
        <f t="shared" si="6"/>
        <v>0</v>
      </c>
      <c r="O121" s="14">
        <f>IF(COUNTIF(Assumptions!$A$25:$A$27,A121)&gt;0,1,0)</f>
        <v>0</v>
      </c>
      <c r="P121" s="14">
        <f>IF(COUNTIF(Assumptions!$B$25:$B$26,A121)&gt;0,1,0)</f>
        <v>0</v>
      </c>
      <c r="Q121" s="14">
        <f>IF(COUNTIF(Assumptions!$C$25:$C$25,A121)&gt;0,1,0)</f>
        <v>0</v>
      </c>
      <c r="R121" s="17">
        <f t="shared" si="7"/>
        <v>0</v>
      </c>
      <c r="S121" s="15" t="str">
        <f>IFERROR(VLOOKUP(A121,Assumptions!$A$31:$B$33,2,0),"")</f>
        <v/>
      </c>
      <c r="T121" s="15">
        <f t="shared" si="8"/>
        <v>116.92</v>
      </c>
      <c r="U121" s="15">
        <f t="shared" si="9"/>
        <v>478553.56</v>
      </c>
      <c r="V121" s="15">
        <f t="shared" si="10"/>
        <v>478553.56</v>
      </c>
      <c r="W121" s="15">
        <f t="shared" si="11"/>
        <v>0</v>
      </c>
    </row>
    <row r="122" spans="1:23" ht="15" customHeight="1" x14ac:dyDescent="0.2">
      <c r="A122" s="14" t="s">
        <v>2215</v>
      </c>
      <c r="B122" s="14" t="s">
        <v>2216</v>
      </c>
      <c r="C122" s="14" t="s">
        <v>2107</v>
      </c>
      <c r="D122" s="14" t="s">
        <v>42</v>
      </c>
      <c r="E122" s="14" t="s">
        <v>1988</v>
      </c>
      <c r="F122" s="14">
        <v>4032</v>
      </c>
      <c r="G122" s="15">
        <v>352.22</v>
      </c>
      <c r="H122" s="16">
        <v>45973</v>
      </c>
      <c r="I122" s="16">
        <v>46044</v>
      </c>
      <c r="J122" s="16">
        <v>46409</v>
      </c>
      <c r="K122" s="14" t="s">
        <v>2021</v>
      </c>
      <c r="L122" s="16">
        <f>IF(D122="Packaging","",IF(ISNUMBER(J122),J122,IF(ISNUMBER(I122),EDATE(I122,VLOOKUP(D122,Assumptions!$A$10:$B$16,2,0)),"")))</f>
        <v>46409</v>
      </c>
      <c r="M122" s="14">
        <f>IF(ISNUMBER(L122),L122-Assumptions!$B$5,"")</f>
        <v>387</v>
      </c>
      <c r="N122" s="17">
        <f t="shared" si="6"/>
        <v>0</v>
      </c>
      <c r="O122" s="14">
        <f>IF(COUNTIF(Assumptions!$A$25:$A$27,A122)&gt;0,1,0)</f>
        <v>0</v>
      </c>
      <c r="P122" s="14">
        <f>IF(COUNTIF(Assumptions!$B$25:$B$26,A122)&gt;0,1,0)</f>
        <v>0</v>
      </c>
      <c r="Q122" s="14">
        <f>IF(COUNTIF(Assumptions!$C$25:$C$25,A122)&gt;0,1,0)</f>
        <v>0</v>
      </c>
      <c r="R122" s="17">
        <f t="shared" si="7"/>
        <v>0</v>
      </c>
      <c r="S122" s="15" t="str">
        <f>IFERROR(VLOOKUP(A122,Assumptions!$A$31:$B$33,2,0),"")</f>
        <v/>
      </c>
      <c r="T122" s="15">
        <f t="shared" si="8"/>
        <v>352.22</v>
      </c>
      <c r="U122" s="15">
        <f t="shared" si="9"/>
        <v>1420151.04</v>
      </c>
      <c r="V122" s="15">
        <f t="shared" si="10"/>
        <v>1420151.04</v>
      </c>
      <c r="W122" s="15">
        <f t="shared" si="11"/>
        <v>0</v>
      </c>
    </row>
    <row r="123" spans="1:23" ht="15" customHeight="1" x14ac:dyDescent="0.2">
      <c r="A123" s="14" t="s">
        <v>2217</v>
      </c>
      <c r="B123" s="14" t="s">
        <v>2218</v>
      </c>
      <c r="C123" s="14" t="s">
        <v>2219</v>
      </c>
      <c r="D123" s="14" t="s">
        <v>42</v>
      </c>
      <c r="E123" s="14" t="s">
        <v>2014</v>
      </c>
      <c r="F123" s="14">
        <v>2926</v>
      </c>
      <c r="G123" s="15">
        <v>3.4</v>
      </c>
      <c r="H123" s="16">
        <v>45975</v>
      </c>
      <c r="I123" s="16">
        <v>46282</v>
      </c>
      <c r="J123" s="16">
        <v>46647</v>
      </c>
      <c r="K123" s="14" t="s">
        <v>1994</v>
      </c>
      <c r="L123" s="16">
        <f>IF(D123="Packaging","",IF(ISNUMBER(J123),J123,IF(ISNUMBER(I123),EDATE(I123,VLOOKUP(D123,Assumptions!$A$10:$B$16,2,0)),"")))</f>
        <v>46647</v>
      </c>
      <c r="M123" s="14">
        <f>IF(ISNUMBER(L123),L123-Assumptions!$B$5,"")</f>
        <v>625</v>
      </c>
      <c r="N123" s="17">
        <f t="shared" si="6"/>
        <v>0</v>
      </c>
      <c r="O123" s="14">
        <f>IF(COUNTIF(Assumptions!$A$25:$A$27,A123)&gt;0,1,0)</f>
        <v>0</v>
      </c>
      <c r="P123" s="14">
        <f>IF(COUNTIF(Assumptions!$B$25:$B$26,A123)&gt;0,1,0)</f>
        <v>0</v>
      </c>
      <c r="Q123" s="14">
        <f>IF(COUNTIF(Assumptions!$C$25:$C$25,A123)&gt;0,1,0)</f>
        <v>0</v>
      </c>
      <c r="R123" s="17">
        <f t="shared" si="7"/>
        <v>0</v>
      </c>
      <c r="S123" s="15" t="str">
        <f>IFERROR(VLOOKUP(A123,Assumptions!$A$31:$B$33,2,0),"")</f>
        <v/>
      </c>
      <c r="T123" s="15">
        <f t="shared" si="8"/>
        <v>3.4</v>
      </c>
      <c r="U123" s="15">
        <f t="shared" si="9"/>
        <v>9948.4</v>
      </c>
      <c r="V123" s="15">
        <f t="shared" si="10"/>
        <v>9948.4</v>
      </c>
      <c r="W123" s="15">
        <f t="shared" si="11"/>
        <v>0</v>
      </c>
    </row>
    <row r="124" spans="1:23" ht="15" customHeight="1" x14ac:dyDescent="0.2">
      <c r="A124" s="14" t="s">
        <v>2220</v>
      </c>
      <c r="B124" s="14" t="s">
        <v>2221</v>
      </c>
      <c r="C124" s="14" t="s">
        <v>2003</v>
      </c>
      <c r="D124" s="14" t="s">
        <v>46</v>
      </c>
      <c r="E124" s="14" t="s">
        <v>1988</v>
      </c>
      <c r="F124" s="14">
        <v>387</v>
      </c>
      <c r="G124" s="15">
        <v>166.03</v>
      </c>
      <c r="H124" s="16">
        <v>46009</v>
      </c>
      <c r="I124" s="16">
        <v>46559</v>
      </c>
      <c r="J124" s="16"/>
      <c r="K124" s="14" t="s">
        <v>1989</v>
      </c>
      <c r="L124" s="16">
        <f>IF(D124="Packaging","",IF(ISNUMBER(J124),J124,IF(ISNUMBER(I124),EDATE(I124,VLOOKUP(D124,Assumptions!$A$10:$B$16,2,0)),"")))</f>
        <v>46833</v>
      </c>
      <c r="M124" s="14">
        <f>IF(ISNUMBER(L124),L124-Assumptions!$B$5,"")</f>
        <v>811</v>
      </c>
      <c r="N124" s="17">
        <f t="shared" si="6"/>
        <v>0</v>
      </c>
      <c r="O124" s="14">
        <f>IF(COUNTIF(Assumptions!$A$25:$A$27,A124)&gt;0,1,0)</f>
        <v>0</v>
      </c>
      <c r="P124" s="14">
        <f>IF(COUNTIF(Assumptions!$B$25:$B$26,A124)&gt;0,1,0)</f>
        <v>0</v>
      </c>
      <c r="Q124" s="14">
        <f>IF(COUNTIF(Assumptions!$C$25:$C$25,A124)&gt;0,1,0)</f>
        <v>0</v>
      </c>
      <c r="R124" s="17">
        <f t="shared" si="7"/>
        <v>0</v>
      </c>
      <c r="S124" s="15" t="str">
        <f>IFERROR(VLOOKUP(A124,Assumptions!$A$31:$B$33,2,0),"")</f>
        <v/>
      </c>
      <c r="T124" s="15">
        <f t="shared" si="8"/>
        <v>166.03</v>
      </c>
      <c r="U124" s="15">
        <f t="shared" si="9"/>
        <v>64253.61</v>
      </c>
      <c r="V124" s="15">
        <f t="shared" si="10"/>
        <v>64253.61</v>
      </c>
      <c r="W124" s="15">
        <f t="shared" si="11"/>
        <v>0</v>
      </c>
    </row>
    <row r="125" spans="1:23" ht="15" customHeight="1" x14ac:dyDescent="0.2">
      <c r="A125" s="14" t="s">
        <v>2222</v>
      </c>
      <c r="B125" s="14" t="s">
        <v>2223</v>
      </c>
      <c r="C125" s="14" t="s">
        <v>2027</v>
      </c>
      <c r="D125" s="14" t="s">
        <v>44</v>
      </c>
      <c r="E125" s="14" t="s">
        <v>2037</v>
      </c>
      <c r="F125" s="14">
        <v>3973</v>
      </c>
      <c r="G125" s="15">
        <v>98.86</v>
      </c>
      <c r="H125" s="16">
        <v>46004</v>
      </c>
      <c r="I125" s="16">
        <v>46200</v>
      </c>
      <c r="J125" s="16">
        <v>46748</v>
      </c>
      <c r="K125" s="14" t="s">
        <v>2004</v>
      </c>
      <c r="L125" s="16">
        <f>IF(D125="Packaging","",IF(ISNUMBER(J125),J125,IF(ISNUMBER(I125),EDATE(I125,VLOOKUP(D125,Assumptions!$A$10:$B$16,2,0)),"")))</f>
        <v>46748</v>
      </c>
      <c r="M125" s="14">
        <f>IF(ISNUMBER(L125),L125-Assumptions!$B$5,"")</f>
        <v>726</v>
      </c>
      <c r="N125" s="17">
        <f t="shared" si="6"/>
        <v>0</v>
      </c>
      <c r="O125" s="14">
        <f>IF(COUNTIF(Assumptions!$A$25:$A$27,A125)&gt;0,1,0)</f>
        <v>0</v>
      </c>
      <c r="P125" s="14">
        <f>IF(COUNTIF(Assumptions!$B$25:$B$26,A125)&gt;0,1,0)</f>
        <v>0</v>
      </c>
      <c r="Q125" s="14">
        <f>IF(COUNTIF(Assumptions!$C$25:$C$25,A125)&gt;0,1,0)</f>
        <v>0</v>
      </c>
      <c r="R125" s="17">
        <f t="shared" si="7"/>
        <v>0</v>
      </c>
      <c r="S125" s="15" t="str">
        <f>IFERROR(VLOOKUP(A125,Assumptions!$A$31:$B$33,2,0),"")</f>
        <v/>
      </c>
      <c r="T125" s="15">
        <f t="shared" si="8"/>
        <v>98.86</v>
      </c>
      <c r="U125" s="15">
        <f t="shared" si="9"/>
        <v>392770.77999999997</v>
      </c>
      <c r="V125" s="15">
        <f t="shared" si="10"/>
        <v>392770.77999999997</v>
      </c>
      <c r="W125" s="15">
        <f t="shared" si="11"/>
        <v>0</v>
      </c>
    </row>
    <row r="126" spans="1:23" ht="15" customHeight="1" x14ac:dyDescent="0.2">
      <c r="A126" s="14" t="s">
        <v>2224</v>
      </c>
      <c r="B126" s="14" t="s">
        <v>2225</v>
      </c>
      <c r="C126" s="14" t="s">
        <v>2142</v>
      </c>
      <c r="D126" s="14" t="s">
        <v>44</v>
      </c>
      <c r="E126" s="14" t="s">
        <v>2014</v>
      </c>
      <c r="F126" s="14">
        <v>485</v>
      </c>
      <c r="G126" s="15">
        <v>327.02999999999997</v>
      </c>
      <c r="H126" s="16">
        <v>46001</v>
      </c>
      <c r="I126" s="16">
        <v>46209</v>
      </c>
      <c r="J126" s="16"/>
      <c r="K126" s="14" t="s">
        <v>1989</v>
      </c>
      <c r="L126" s="16">
        <f>IF(D126="Packaging","",IF(ISNUMBER(J126),J126,IF(ISNUMBER(I126),EDATE(I126,VLOOKUP(D126,Assumptions!$A$10:$B$16,2,0)),"")))</f>
        <v>46758</v>
      </c>
      <c r="M126" s="14">
        <f>IF(ISNUMBER(L126),L126-Assumptions!$B$5,"")</f>
        <v>736</v>
      </c>
      <c r="N126" s="17">
        <f t="shared" si="6"/>
        <v>0</v>
      </c>
      <c r="O126" s="14">
        <f>IF(COUNTIF(Assumptions!$A$25:$A$27,A126)&gt;0,1,0)</f>
        <v>0</v>
      </c>
      <c r="P126" s="14">
        <f>IF(COUNTIF(Assumptions!$B$25:$B$26,A126)&gt;0,1,0)</f>
        <v>0</v>
      </c>
      <c r="Q126" s="14">
        <f>IF(COUNTIF(Assumptions!$C$25:$C$25,A126)&gt;0,1,0)</f>
        <v>0</v>
      </c>
      <c r="R126" s="17">
        <f t="shared" si="7"/>
        <v>0</v>
      </c>
      <c r="S126" s="15" t="str">
        <f>IFERROR(VLOOKUP(A126,Assumptions!$A$31:$B$33,2,0),"")</f>
        <v/>
      </c>
      <c r="T126" s="15">
        <f t="shared" si="8"/>
        <v>327.02999999999997</v>
      </c>
      <c r="U126" s="15">
        <f t="shared" si="9"/>
        <v>158609.54999999999</v>
      </c>
      <c r="V126" s="15">
        <f t="shared" si="10"/>
        <v>158609.54999999999</v>
      </c>
      <c r="W126" s="15">
        <f t="shared" si="11"/>
        <v>0</v>
      </c>
    </row>
    <row r="127" spans="1:23" ht="15" customHeight="1" x14ac:dyDescent="0.2">
      <c r="A127" s="14" t="s">
        <v>2226</v>
      </c>
      <c r="B127" s="14" t="s">
        <v>2227</v>
      </c>
      <c r="C127" s="14" t="s">
        <v>2094</v>
      </c>
      <c r="D127" s="14" t="s">
        <v>47</v>
      </c>
      <c r="E127" s="14" t="s">
        <v>2014</v>
      </c>
      <c r="F127" s="14">
        <v>3370</v>
      </c>
      <c r="G127" s="15">
        <v>413.08</v>
      </c>
      <c r="H127" s="16">
        <v>45630</v>
      </c>
      <c r="I127" s="16">
        <v>45617</v>
      </c>
      <c r="J127" s="16"/>
      <c r="K127" s="14" t="s">
        <v>2021</v>
      </c>
      <c r="L127" s="16" t="str">
        <f>IF(D127="Packaging","",IF(ISNUMBER(J127),J127,IF(ISNUMBER(I127),EDATE(I127,VLOOKUP(D127,Assumptions!$A$10:$B$16,2,0)),"")))</f>
        <v/>
      </c>
      <c r="M127" s="14" t="str">
        <f>IF(ISNUMBER(L127),L127-Assumptions!$B$5,"")</f>
        <v/>
      </c>
      <c r="N127" s="17">
        <f t="shared" si="6"/>
        <v>0</v>
      </c>
      <c r="O127" s="14">
        <f>IF(COUNTIF(Assumptions!$A$25:$A$27,A127)&gt;0,1,0)</f>
        <v>0</v>
      </c>
      <c r="P127" s="14">
        <f>IF(COUNTIF(Assumptions!$B$25:$B$26,A127)&gt;0,1,0)</f>
        <v>0</v>
      </c>
      <c r="Q127" s="14">
        <f>IF(COUNTIF(Assumptions!$C$25:$C$25,A127)&gt;0,1,0)</f>
        <v>0</v>
      </c>
      <c r="R127" s="17">
        <f t="shared" si="7"/>
        <v>0</v>
      </c>
      <c r="S127" s="15" t="str">
        <f>IFERROR(VLOOKUP(A127,Assumptions!$A$31:$B$33,2,0),"")</f>
        <v/>
      </c>
      <c r="T127" s="15">
        <f t="shared" si="8"/>
        <v>413.08</v>
      </c>
      <c r="U127" s="15">
        <f t="shared" si="9"/>
        <v>1392079.5999999999</v>
      </c>
      <c r="V127" s="15">
        <f t="shared" si="10"/>
        <v>1392079.5999999999</v>
      </c>
      <c r="W127" s="15">
        <f t="shared" si="11"/>
        <v>0</v>
      </c>
    </row>
    <row r="128" spans="1:23" ht="15" customHeight="1" x14ac:dyDescent="0.2">
      <c r="A128" s="14" t="s">
        <v>2228</v>
      </c>
      <c r="B128" s="14" t="s">
        <v>2229</v>
      </c>
      <c r="C128" s="14" t="s">
        <v>2049</v>
      </c>
      <c r="D128" s="14" t="s">
        <v>42</v>
      </c>
      <c r="E128" s="14" t="s">
        <v>2037</v>
      </c>
      <c r="F128" s="14">
        <v>3423</v>
      </c>
      <c r="G128" s="15">
        <v>202.25</v>
      </c>
      <c r="H128" s="16">
        <v>45971</v>
      </c>
      <c r="I128" s="16">
        <v>46435</v>
      </c>
      <c r="J128" s="16"/>
      <c r="K128" s="14" t="s">
        <v>2030</v>
      </c>
      <c r="L128" s="16">
        <f>IF(D128="Packaging","",IF(ISNUMBER(J128),J128,IF(ISNUMBER(I128),EDATE(I128,VLOOKUP(D128,Assumptions!$A$10:$B$16,2,0)),"")))</f>
        <v>46800</v>
      </c>
      <c r="M128" s="14">
        <f>IF(ISNUMBER(L128),L128-Assumptions!$B$5,"")</f>
        <v>778</v>
      </c>
      <c r="N128" s="17">
        <f t="shared" si="6"/>
        <v>0</v>
      </c>
      <c r="O128" s="14">
        <f>IF(COUNTIF(Assumptions!$A$25:$A$27,A128)&gt;0,1,0)</f>
        <v>0</v>
      </c>
      <c r="P128" s="14">
        <f>IF(COUNTIF(Assumptions!$B$25:$B$26,A128)&gt;0,1,0)</f>
        <v>0</v>
      </c>
      <c r="Q128" s="14">
        <f>IF(COUNTIF(Assumptions!$C$25:$C$25,A128)&gt;0,1,0)</f>
        <v>0</v>
      </c>
      <c r="R128" s="17">
        <f t="shared" si="7"/>
        <v>0</v>
      </c>
      <c r="S128" s="15" t="str">
        <f>IFERROR(VLOOKUP(A128,Assumptions!$A$31:$B$33,2,0),"")</f>
        <v/>
      </c>
      <c r="T128" s="15">
        <f t="shared" si="8"/>
        <v>202.25</v>
      </c>
      <c r="U128" s="15">
        <f t="shared" si="9"/>
        <v>692301.75</v>
      </c>
      <c r="V128" s="15">
        <f t="shared" si="10"/>
        <v>692301.75</v>
      </c>
      <c r="W128" s="15">
        <f t="shared" si="11"/>
        <v>0</v>
      </c>
    </row>
    <row r="129" spans="1:23" ht="15" customHeight="1" x14ac:dyDescent="0.2">
      <c r="A129" s="14" t="s">
        <v>2230</v>
      </c>
      <c r="B129" s="14" t="s">
        <v>2231</v>
      </c>
      <c r="C129" s="14" t="s">
        <v>2018</v>
      </c>
      <c r="D129" s="14" t="s">
        <v>36</v>
      </c>
      <c r="E129" s="14" t="s">
        <v>1988</v>
      </c>
      <c r="F129" s="14">
        <v>806</v>
      </c>
      <c r="G129" s="15">
        <v>189.92</v>
      </c>
      <c r="H129" s="16">
        <v>46015</v>
      </c>
      <c r="I129" s="16">
        <v>46059</v>
      </c>
      <c r="J129" s="16">
        <v>46789</v>
      </c>
      <c r="K129" s="14" t="s">
        <v>1989</v>
      </c>
      <c r="L129" s="16">
        <f>IF(D129="Packaging","",IF(ISNUMBER(J129),J129,IF(ISNUMBER(I129),EDATE(I129,VLOOKUP(D129,Assumptions!$A$10:$B$16,2,0)),"")))</f>
        <v>46789</v>
      </c>
      <c r="M129" s="14">
        <f>IF(ISNUMBER(L129),L129-Assumptions!$B$5,"")</f>
        <v>767</v>
      </c>
      <c r="N129" s="17">
        <f t="shared" si="6"/>
        <v>0</v>
      </c>
      <c r="O129" s="14">
        <f>IF(COUNTIF(Assumptions!$A$25:$A$27,A129)&gt;0,1,0)</f>
        <v>0</v>
      </c>
      <c r="P129" s="14">
        <f>IF(COUNTIF(Assumptions!$B$25:$B$26,A129)&gt;0,1,0)</f>
        <v>0</v>
      </c>
      <c r="Q129" s="14">
        <f>IF(COUNTIF(Assumptions!$C$25:$C$25,A129)&gt;0,1,0)</f>
        <v>0</v>
      </c>
      <c r="R129" s="17">
        <f t="shared" si="7"/>
        <v>0</v>
      </c>
      <c r="S129" s="15" t="str">
        <f>IFERROR(VLOOKUP(A129,Assumptions!$A$31:$B$33,2,0),"")</f>
        <v/>
      </c>
      <c r="T129" s="15">
        <f t="shared" si="8"/>
        <v>189.92</v>
      </c>
      <c r="U129" s="15">
        <f t="shared" si="9"/>
        <v>153075.51999999999</v>
      </c>
      <c r="V129" s="15">
        <f t="shared" si="10"/>
        <v>153075.51999999999</v>
      </c>
      <c r="W129" s="15">
        <f t="shared" si="11"/>
        <v>0</v>
      </c>
    </row>
    <row r="130" spans="1:23" ht="15" customHeight="1" x14ac:dyDescent="0.2">
      <c r="A130" s="14" t="s">
        <v>2232</v>
      </c>
      <c r="B130" s="14" t="s">
        <v>2233</v>
      </c>
      <c r="C130" s="14" t="s">
        <v>2101</v>
      </c>
      <c r="D130" s="14" t="s">
        <v>46</v>
      </c>
      <c r="E130" s="14" t="s">
        <v>1988</v>
      </c>
      <c r="F130" s="14">
        <v>1305</v>
      </c>
      <c r="G130" s="15">
        <v>409.5</v>
      </c>
      <c r="H130" s="16">
        <v>45983</v>
      </c>
      <c r="I130" s="16">
        <v>45974</v>
      </c>
      <c r="J130" s="16"/>
      <c r="K130" s="14" t="s">
        <v>2015</v>
      </c>
      <c r="L130" s="16">
        <f>IF(D130="Packaging","",IF(ISNUMBER(J130),J130,IF(ISNUMBER(I130),EDATE(I130,VLOOKUP(D130,Assumptions!$A$10:$B$16,2,0)),"")))</f>
        <v>46247</v>
      </c>
      <c r="M130" s="14">
        <f>IF(ISNUMBER(L130),L130-Assumptions!$B$5,"")</f>
        <v>225</v>
      </c>
      <c r="N130" s="17">
        <f t="shared" ref="N130:N193" si="12">IF(D130="Packaging",0,IF(NOT(ISNUMBER(L130)),0,IF(M130&lt;0,1,IF(M130&lt;=90,0.5,IF(M130&lt;=180,0.25,0)))))</f>
        <v>0</v>
      </c>
      <c r="O130" s="14">
        <f>IF(COUNTIF(Assumptions!$A$25:$A$27,A130)&gt;0,1,0)</f>
        <v>0</v>
      </c>
      <c r="P130" s="14">
        <f>IF(COUNTIF(Assumptions!$B$25:$B$26,A130)&gt;0,1,0)</f>
        <v>0</v>
      </c>
      <c r="Q130" s="14">
        <f>IF(COUNTIF(Assumptions!$C$25:$C$25,A130)&gt;0,1,0)</f>
        <v>0</v>
      </c>
      <c r="R130" s="17">
        <f t="shared" ref="R130:R193" si="13">IF(OR(O130=1,Q130=1),1,IF(P130=1,0.5,N130))</f>
        <v>0</v>
      </c>
      <c r="S130" s="15" t="str">
        <f>IFERROR(VLOOKUP(A130,Assumptions!$A$31:$B$33,2,0),"")</f>
        <v/>
      </c>
      <c r="T130" s="15">
        <f t="shared" ref="T130:T193" si="14">IF(S130="",G130,MIN(G130,S130))</f>
        <v>409.5</v>
      </c>
      <c r="U130" s="15">
        <f t="shared" ref="U130:U193" si="15">F130*G130</f>
        <v>534397.5</v>
      </c>
      <c r="V130" s="15">
        <f t="shared" ref="V130:V193" si="16">F130*T130*(1-R130)</f>
        <v>534397.5</v>
      </c>
      <c r="W130" s="15">
        <f t="shared" ref="W130:W193" si="17">U130-V130</f>
        <v>0</v>
      </c>
    </row>
    <row r="131" spans="1:23" ht="15" customHeight="1" x14ac:dyDescent="0.2">
      <c r="A131" s="14" t="s">
        <v>2234</v>
      </c>
      <c r="B131" s="14" t="s">
        <v>2235</v>
      </c>
      <c r="C131" s="14" t="s">
        <v>2061</v>
      </c>
      <c r="D131" s="14" t="s">
        <v>44</v>
      </c>
      <c r="E131" s="14" t="s">
        <v>1993</v>
      </c>
      <c r="F131" s="14">
        <v>4751</v>
      </c>
      <c r="G131" s="15">
        <v>133.06</v>
      </c>
      <c r="H131" s="16">
        <v>46017</v>
      </c>
      <c r="I131" s="16">
        <v>46214</v>
      </c>
      <c r="J131" s="16">
        <v>46763</v>
      </c>
      <c r="K131" s="14" t="s">
        <v>2015</v>
      </c>
      <c r="L131" s="16">
        <f>IF(D131="Packaging","",IF(ISNUMBER(J131),J131,IF(ISNUMBER(I131),EDATE(I131,VLOOKUP(D131,Assumptions!$A$10:$B$16,2,0)),"")))</f>
        <v>46763</v>
      </c>
      <c r="M131" s="14">
        <f>IF(ISNUMBER(L131),L131-Assumptions!$B$5,"")</f>
        <v>741</v>
      </c>
      <c r="N131" s="17">
        <f t="shared" si="12"/>
        <v>0</v>
      </c>
      <c r="O131" s="14">
        <f>IF(COUNTIF(Assumptions!$A$25:$A$27,A131)&gt;0,1,0)</f>
        <v>0</v>
      </c>
      <c r="P131" s="14">
        <f>IF(COUNTIF(Assumptions!$B$25:$B$26,A131)&gt;0,1,0)</f>
        <v>0</v>
      </c>
      <c r="Q131" s="14">
        <f>IF(COUNTIF(Assumptions!$C$25:$C$25,A131)&gt;0,1,0)</f>
        <v>0</v>
      </c>
      <c r="R131" s="17">
        <f t="shared" si="13"/>
        <v>0</v>
      </c>
      <c r="S131" s="15" t="str">
        <f>IFERROR(VLOOKUP(A131,Assumptions!$A$31:$B$33,2,0),"")</f>
        <v/>
      </c>
      <c r="T131" s="15">
        <f t="shared" si="14"/>
        <v>133.06</v>
      </c>
      <c r="U131" s="15">
        <f t="shared" si="15"/>
        <v>632168.06000000006</v>
      </c>
      <c r="V131" s="15">
        <f t="shared" si="16"/>
        <v>632168.06000000006</v>
      </c>
      <c r="W131" s="15">
        <f t="shared" si="17"/>
        <v>0</v>
      </c>
    </row>
    <row r="132" spans="1:23" ht="15" customHeight="1" x14ac:dyDescent="0.2">
      <c r="A132" s="14" t="s">
        <v>2236</v>
      </c>
      <c r="B132" s="14" t="s">
        <v>2237</v>
      </c>
      <c r="C132" s="14" t="s">
        <v>1435</v>
      </c>
      <c r="D132" s="14" t="s">
        <v>36</v>
      </c>
      <c r="E132" s="14" t="s">
        <v>1993</v>
      </c>
      <c r="F132" s="14">
        <v>1520</v>
      </c>
      <c r="G132" s="15">
        <v>215.59</v>
      </c>
      <c r="H132" s="16">
        <v>45986</v>
      </c>
      <c r="I132" s="16">
        <v>46030</v>
      </c>
      <c r="J132" s="16"/>
      <c r="K132" s="14" t="s">
        <v>2015</v>
      </c>
      <c r="L132" s="16">
        <f>IF(D132="Packaging","",IF(ISNUMBER(J132),J132,IF(ISNUMBER(I132),EDATE(I132,VLOOKUP(D132,Assumptions!$A$10:$B$16,2,0)),"")))</f>
        <v>46760</v>
      </c>
      <c r="M132" s="14">
        <f>IF(ISNUMBER(L132),L132-Assumptions!$B$5,"")</f>
        <v>738</v>
      </c>
      <c r="N132" s="17">
        <f t="shared" si="12"/>
        <v>0</v>
      </c>
      <c r="O132" s="14">
        <f>IF(COUNTIF(Assumptions!$A$25:$A$27,A132)&gt;0,1,0)</f>
        <v>0</v>
      </c>
      <c r="P132" s="14">
        <f>IF(COUNTIF(Assumptions!$B$25:$B$26,A132)&gt;0,1,0)</f>
        <v>0</v>
      </c>
      <c r="Q132" s="14">
        <f>IF(COUNTIF(Assumptions!$C$25:$C$25,A132)&gt;0,1,0)</f>
        <v>0</v>
      </c>
      <c r="R132" s="17">
        <f t="shared" si="13"/>
        <v>0</v>
      </c>
      <c r="S132" s="15" t="str">
        <f>IFERROR(VLOOKUP(A132,Assumptions!$A$31:$B$33,2,0),"")</f>
        <v/>
      </c>
      <c r="T132" s="15">
        <f t="shared" si="14"/>
        <v>215.59</v>
      </c>
      <c r="U132" s="15">
        <f t="shared" si="15"/>
        <v>327696.8</v>
      </c>
      <c r="V132" s="15">
        <f t="shared" si="16"/>
        <v>327696.8</v>
      </c>
      <c r="W132" s="15">
        <f t="shared" si="17"/>
        <v>0</v>
      </c>
    </row>
    <row r="133" spans="1:23" ht="15" customHeight="1" x14ac:dyDescent="0.2">
      <c r="A133" s="14" t="s">
        <v>2238</v>
      </c>
      <c r="B133" s="14" t="s">
        <v>2239</v>
      </c>
      <c r="C133" s="14" t="s">
        <v>2101</v>
      </c>
      <c r="D133" s="14" t="s">
        <v>46</v>
      </c>
      <c r="E133" s="14" t="s">
        <v>2014</v>
      </c>
      <c r="F133" s="14">
        <v>4486</v>
      </c>
      <c r="G133" s="15">
        <v>170.48</v>
      </c>
      <c r="H133" s="16">
        <v>45995</v>
      </c>
      <c r="I133" s="16">
        <v>46368</v>
      </c>
      <c r="J133" s="16"/>
      <c r="K133" s="14" t="s">
        <v>2052</v>
      </c>
      <c r="L133" s="16">
        <f>IF(D133="Packaging","",IF(ISNUMBER(J133),J133,IF(ISNUMBER(I133),EDATE(I133,VLOOKUP(D133,Assumptions!$A$10:$B$16,2,0)),"")))</f>
        <v>46642</v>
      </c>
      <c r="M133" s="14">
        <f>IF(ISNUMBER(L133),L133-Assumptions!$B$5,"")</f>
        <v>620</v>
      </c>
      <c r="N133" s="17">
        <f t="shared" si="12"/>
        <v>0</v>
      </c>
      <c r="O133" s="14">
        <f>IF(COUNTIF(Assumptions!$A$25:$A$27,A133)&gt;0,1,0)</f>
        <v>0</v>
      </c>
      <c r="P133" s="14">
        <f>IF(COUNTIF(Assumptions!$B$25:$B$26,A133)&gt;0,1,0)</f>
        <v>0</v>
      </c>
      <c r="Q133" s="14">
        <f>IF(COUNTIF(Assumptions!$C$25:$C$25,A133)&gt;0,1,0)</f>
        <v>0</v>
      </c>
      <c r="R133" s="17">
        <f t="shared" si="13"/>
        <v>0</v>
      </c>
      <c r="S133" s="15" t="str">
        <f>IFERROR(VLOOKUP(A133,Assumptions!$A$31:$B$33,2,0),"")</f>
        <v/>
      </c>
      <c r="T133" s="15">
        <f t="shared" si="14"/>
        <v>170.48</v>
      </c>
      <c r="U133" s="15">
        <f t="shared" si="15"/>
        <v>764773.27999999991</v>
      </c>
      <c r="V133" s="15">
        <f t="shared" si="16"/>
        <v>764773.27999999991</v>
      </c>
      <c r="W133" s="15">
        <f t="shared" si="17"/>
        <v>0</v>
      </c>
    </row>
    <row r="134" spans="1:23" ht="15" customHeight="1" x14ac:dyDescent="0.2">
      <c r="A134" s="14" t="s">
        <v>240</v>
      </c>
      <c r="B134" s="14" t="s">
        <v>239</v>
      </c>
      <c r="C134" s="14" t="s">
        <v>2018</v>
      </c>
      <c r="D134" s="14" t="s">
        <v>36</v>
      </c>
      <c r="E134" s="14" t="s">
        <v>2014</v>
      </c>
      <c r="F134" s="14">
        <v>725</v>
      </c>
      <c r="G134" s="15">
        <v>170.78</v>
      </c>
      <c r="H134" s="16">
        <v>45848</v>
      </c>
      <c r="I134" s="16">
        <v>45769</v>
      </c>
      <c r="J134" s="16"/>
      <c r="K134" s="14" t="s">
        <v>2030</v>
      </c>
      <c r="L134" s="16">
        <f>IF(D134="Packaging","",IF(ISNUMBER(J134),J134,IF(ISNUMBER(I134),EDATE(I134,VLOOKUP(D134,Assumptions!$A$10:$B$16,2,0)),"")))</f>
        <v>46499</v>
      </c>
      <c r="M134" s="14">
        <f>IF(ISNUMBER(L134),L134-Assumptions!$B$5,"")</f>
        <v>477</v>
      </c>
      <c r="N134" s="17">
        <f t="shared" si="12"/>
        <v>0</v>
      </c>
      <c r="O134" s="14">
        <f>IF(COUNTIF(Assumptions!$A$25:$A$27,A134)&gt;0,1,0)</f>
        <v>0</v>
      </c>
      <c r="P134" s="14">
        <f>IF(COUNTIF(Assumptions!$B$25:$B$26,A134)&gt;0,1,0)</f>
        <v>0</v>
      </c>
      <c r="Q134" s="14">
        <f>IF(COUNTIF(Assumptions!$C$25:$C$25,A134)&gt;0,1,0)</f>
        <v>0</v>
      </c>
      <c r="R134" s="17">
        <f t="shared" si="13"/>
        <v>0</v>
      </c>
      <c r="S134" s="15" t="str">
        <f>IFERROR(VLOOKUP(A134,Assumptions!$A$31:$B$33,2,0),"")</f>
        <v/>
      </c>
      <c r="T134" s="15">
        <f t="shared" si="14"/>
        <v>170.78</v>
      </c>
      <c r="U134" s="15">
        <f t="shared" si="15"/>
        <v>123815.5</v>
      </c>
      <c r="V134" s="15">
        <f t="shared" si="16"/>
        <v>123815.5</v>
      </c>
      <c r="W134" s="15">
        <f t="shared" si="17"/>
        <v>0</v>
      </c>
    </row>
    <row r="135" spans="1:23" ht="15" customHeight="1" x14ac:dyDescent="0.2">
      <c r="A135" s="14" t="s">
        <v>359</v>
      </c>
      <c r="B135" s="14" t="s">
        <v>358</v>
      </c>
      <c r="C135" s="14" t="s">
        <v>2043</v>
      </c>
      <c r="D135" s="14" t="s">
        <v>39</v>
      </c>
      <c r="E135" s="14" t="s">
        <v>2014</v>
      </c>
      <c r="F135" s="14">
        <v>2960</v>
      </c>
      <c r="G135" s="15">
        <v>120.08</v>
      </c>
      <c r="H135" s="16">
        <v>45584</v>
      </c>
      <c r="I135" s="16">
        <v>45564</v>
      </c>
      <c r="J135" s="16">
        <v>46659</v>
      </c>
      <c r="K135" s="14" t="s">
        <v>2021</v>
      </c>
      <c r="L135" s="16">
        <f>IF(D135="Packaging","",IF(ISNUMBER(J135),J135,IF(ISNUMBER(I135),EDATE(I135,VLOOKUP(D135,Assumptions!$A$10:$B$16,2,0)),"")))</f>
        <v>46659</v>
      </c>
      <c r="M135" s="14">
        <f>IF(ISNUMBER(L135),L135-Assumptions!$B$5,"")</f>
        <v>637</v>
      </c>
      <c r="N135" s="17">
        <f t="shared" si="12"/>
        <v>0</v>
      </c>
      <c r="O135" s="14">
        <f>IF(COUNTIF(Assumptions!$A$25:$A$27,A135)&gt;0,1,0)</f>
        <v>0</v>
      </c>
      <c r="P135" s="14">
        <f>IF(COUNTIF(Assumptions!$B$25:$B$26,A135)&gt;0,1,0)</f>
        <v>0</v>
      </c>
      <c r="Q135" s="14">
        <f>IF(COUNTIF(Assumptions!$C$25:$C$25,A135)&gt;0,1,0)</f>
        <v>0</v>
      </c>
      <c r="R135" s="17">
        <f t="shared" si="13"/>
        <v>0</v>
      </c>
      <c r="S135" s="15" t="str">
        <f>IFERROR(VLOOKUP(A135,Assumptions!$A$31:$B$33,2,0),"")</f>
        <v/>
      </c>
      <c r="T135" s="15">
        <f t="shared" si="14"/>
        <v>120.08</v>
      </c>
      <c r="U135" s="15">
        <f t="shared" si="15"/>
        <v>355436.79999999999</v>
      </c>
      <c r="V135" s="15">
        <f t="shared" si="16"/>
        <v>355436.79999999999</v>
      </c>
      <c r="W135" s="15">
        <f t="shared" si="17"/>
        <v>0</v>
      </c>
    </row>
    <row r="136" spans="1:23" ht="15" customHeight="1" x14ac:dyDescent="0.2">
      <c r="A136" s="14" t="s">
        <v>2240</v>
      </c>
      <c r="B136" s="14" t="s">
        <v>2241</v>
      </c>
      <c r="C136" s="14" t="s">
        <v>2107</v>
      </c>
      <c r="D136" s="14" t="s">
        <v>42</v>
      </c>
      <c r="E136" s="14" t="s">
        <v>1993</v>
      </c>
      <c r="F136" s="14">
        <v>3395</v>
      </c>
      <c r="G136" s="15">
        <v>295.02999999999997</v>
      </c>
      <c r="H136" s="16">
        <v>45994</v>
      </c>
      <c r="I136" s="16">
        <v>45976</v>
      </c>
      <c r="J136" s="16"/>
      <c r="K136" s="14" t="s">
        <v>1994</v>
      </c>
      <c r="L136" s="16">
        <f>IF(D136="Packaging","",IF(ISNUMBER(J136),J136,IF(ISNUMBER(I136),EDATE(I136,VLOOKUP(D136,Assumptions!$A$10:$B$16,2,0)),"")))</f>
        <v>46341</v>
      </c>
      <c r="M136" s="14">
        <f>IF(ISNUMBER(L136),L136-Assumptions!$B$5,"")</f>
        <v>319</v>
      </c>
      <c r="N136" s="17">
        <f t="shared" si="12"/>
        <v>0</v>
      </c>
      <c r="O136" s="14">
        <f>IF(COUNTIF(Assumptions!$A$25:$A$27,A136)&gt;0,1,0)</f>
        <v>0</v>
      </c>
      <c r="P136" s="14">
        <f>IF(COUNTIF(Assumptions!$B$25:$B$26,A136)&gt;0,1,0)</f>
        <v>0</v>
      </c>
      <c r="Q136" s="14">
        <f>IF(COUNTIF(Assumptions!$C$25:$C$25,A136)&gt;0,1,0)</f>
        <v>0</v>
      </c>
      <c r="R136" s="17">
        <f t="shared" si="13"/>
        <v>0</v>
      </c>
      <c r="S136" s="15" t="str">
        <f>IFERROR(VLOOKUP(A136,Assumptions!$A$31:$B$33,2,0),"")</f>
        <v/>
      </c>
      <c r="T136" s="15">
        <f t="shared" si="14"/>
        <v>295.02999999999997</v>
      </c>
      <c r="U136" s="15">
        <f t="shared" si="15"/>
        <v>1001626.8499999999</v>
      </c>
      <c r="V136" s="15">
        <f t="shared" si="16"/>
        <v>1001626.8499999999</v>
      </c>
      <c r="W136" s="15">
        <f t="shared" si="17"/>
        <v>0</v>
      </c>
    </row>
    <row r="137" spans="1:23" ht="15" customHeight="1" x14ac:dyDescent="0.2">
      <c r="A137" s="14" t="s">
        <v>2242</v>
      </c>
      <c r="B137" s="14" t="s">
        <v>2243</v>
      </c>
      <c r="C137" s="14" t="s">
        <v>2069</v>
      </c>
      <c r="D137" s="14" t="s">
        <v>47</v>
      </c>
      <c r="E137" s="14" t="s">
        <v>1988</v>
      </c>
      <c r="F137" s="14">
        <v>3995</v>
      </c>
      <c r="G137" s="15">
        <v>4.4000000000000004</v>
      </c>
      <c r="H137" s="16">
        <v>45481</v>
      </c>
      <c r="I137" s="16">
        <v>45442</v>
      </c>
      <c r="J137" s="16"/>
      <c r="K137" s="14" t="s">
        <v>2030</v>
      </c>
      <c r="L137" s="16" t="str">
        <f>IF(D137="Packaging","",IF(ISNUMBER(J137),J137,IF(ISNUMBER(I137),EDATE(I137,VLOOKUP(D137,Assumptions!$A$10:$B$16,2,0)),"")))</f>
        <v/>
      </c>
      <c r="M137" s="14" t="str">
        <f>IF(ISNUMBER(L137),L137-Assumptions!$B$5,"")</f>
        <v/>
      </c>
      <c r="N137" s="17">
        <f t="shared" si="12"/>
        <v>0</v>
      </c>
      <c r="O137" s="14">
        <f>IF(COUNTIF(Assumptions!$A$25:$A$27,A137)&gt;0,1,0)</f>
        <v>0</v>
      </c>
      <c r="P137" s="14">
        <f>IF(COUNTIF(Assumptions!$B$25:$B$26,A137)&gt;0,1,0)</f>
        <v>0</v>
      </c>
      <c r="Q137" s="14">
        <f>IF(COUNTIF(Assumptions!$C$25:$C$25,A137)&gt;0,1,0)</f>
        <v>0</v>
      </c>
      <c r="R137" s="17">
        <f t="shared" si="13"/>
        <v>0</v>
      </c>
      <c r="S137" s="15" t="str">
        <f>IFERROR(VLOOKUP(A137,Assumptions!$A$31:$B$33,2,0),"")</f>
        <v/>
      </c>
      <c r="T137" s="15">
        <f t="shared" si="14"/>
        <v>4.4000000000000004</v>
      </c>
      <c r="U137" s="15">
        <f t="shared" si="15"/>
        <v>17578</v>
      </c>
      <c r="V137" s="15">
        <f t="shared" si="16"/>
        <v>17578</v>
      </c>
      <c r="W137" s="15">
        <f t="shared" si="17"/>
        <v>0</v>
      </c>
    </row>
    <row r="138" spans="1:23" ht="15" customHeight="1" x14ac:dyDescent="0.2">
      <c r="A138" s="14" t="s">
        <v>374</v>
      </c>
      <c r="B138" s="14" t="s">
        <v>373</v>
      </c>
      <c r="C138" s="14" t="s">
        <v>2192</v>
      </c>
      <c r="D138" s="14" t="s">
        <v>39</v>
      </c>
      <c r="E138" s="14" t="s">
        <v>2014</v>
      </c>
      <c r="F138" s="14">
        <v>2935</v>
      </c>
      <c r="G138" s="15">
        <v>389.14</v>
      </c>
      <c r="H138" s="16">
        <v>45298</v>
      </c>
      <c r="I138" s="16">
        <v>45242</v>
      </c>
      <c r="J138" s="16"/>
      <c r="K138" s="14" t="s">
        <v>2030</v>
      </c>
      <c r="L138" s="16">
        <f>IF(D138="Packaging","",IF(ISNUMBER(J138),J138,IF(ISNUMBER(I138),EDATE(I138,VLOOKUP(D138,Assumptions!$A$10:$B$16,2,0)),"")))</f>
        <v>46338</v>
      </c>
      <c r="M138" s="14">
        <f>IF(ISNUMBER(L138),L138-Assumptions!$B$5,"")</f>
        <v>316</v>
      </c>
      <c r="N138" s="17">
        <f t="shared" si="12"/>
        <v>0</v>
      </c>
      <c r="O138" s="14">
        <f>IF(COUNTIF(Assumptions!$A$25:$A$27,A138)&gt;0,1,0)</f>
        <v>0</v>
      </c>
      <c r="P138" s="14">
        <f>IF(COUNTIF(Assumptions!$B$25:$B$26,A138)&gt;0,1,0)</f>
        <v>0</v>
      </c>
      <c r="Q138" s="14">
        <f>IF(COUNTIF(Assumptions!$C$25:$C$25,A138)&gt;0,1,0)</f>
        <v>0</v>
      </c>
      <c r="R138" s="17">
        <f t="shared" si="13"/>
        <v>0</v>
      </c>
      <c r="S138" s="15" t="str">
        <f>IFERROR(VLOOKUP(A138,Assumptions!$A$31:$B$33,2,0),"")</f>
        <v/>
      </c>
      <c r="T138" s="15">
        <f t="shared" si="14"/>
        <v>389.14</v>
      </c>
      <c r="U138" s="15">
        <f t="shared" si="15"/>
        <v>1142125.8999999999</v>
      </c>
      <c r="V138" s="15">
        <f t="shared" si="16"/>
        <v>1142125.8999999999</v>
      </c>
      <c r="W138" s="15">
        <f t="shared" si="17"/>
        <v>0</v>
      </c>
    </row>
    <row r="139" spans="1:23" ht="15" customHeight="1" x14ac:dyDescent="0.2">
      <c r="A139" s="14" t="s">
        <v>2244</v>
      </c>
      <c r="B139" s="14" t="s">
        <v>2245</v>
      </c>
      <c r="C139" s="14" t="s">
        <v>1997</v>
      </c>
      <c r="D139" s="14" t="s">
        <v>45</v>
      </c>
      <c r="E139" s="14" t="s">
        <v>2037</v>
      </c>
      <c r="F139" s="14">
        <v>2276</v>
      </c>
      <c r="G139" s="15">
        <v>166.54</v>
      </c>
      <c r="H139" s="16">
        <v>46011</v>
      </c>
      <c r="I139" s="16">
        <v>46511</v>
      </c>
      <c r="J139" s="16"/>
      <c r="K139" s="14" t="s">
        <v>2004</v>
      </c>
      <c r="L139" s="16">
        <f>IF(D139="Packaging","",IF(ISNUMBER(J139),J139,IF(ISNUMBER(I139),EDATE(I139,VLOOKUP(D139,Assumptions!$A$10:$B$16,2,0)),"")))</f>
        <v>46695</v>
      </c>
      <c r="M139" s="14">
        <f>IF(ISNUMBER(L139),L139-Assumptions!$B$5,"")</f>
        <v>673</v>
      </c>
      <c r="N139" s="17">
        <f t="shared" si="12"/>
        <v>0</v>
      </c>
      <c r="O139" s="14">
        <f>IF(COUNTIF(Assumptions!$A$25:$A$27,A139)&gt;0,1,0)</f>
        <v>0</v>
      </c>
      <c r="P139" s="14">
        <f>IF(COUNTIF(Assumptions!$B$25:$B$26,A139)&gt;0,1,0)</f>
        <v>0</v>
      </c>
      <c r="Q139" s="14">
        <f>IF(COUNTIF(Assumptions!$C$25:$C$25,A139)&gt;0,1,0)</f>
        <v>0</v>
      </c>
      <c r="R139" s="17">
        <f t="shared" si="13"/>
        <v>0</v>
      </c>
      <c r="S139" s="15" t="str">
        <f>IFERROR(VLOOKUP(A139,Assumptions!$A$31:$B$33,2,0),"")</f>
        <v/>
      </c>
      <c r="T139" s="15">
        <f t="shared" si="14"/>
        <v>166.54</v>
      </c>
      <c r="U139" s="15">
        <f t="shared" si="15"/>
        <v>379045.04</v>
      </c>
      <c r="V139" s="15">
        <f t="shared" si="16"/>
        <v>379045.04</v>
      </c>
      <c r="W139" s="15">
        <f t="shared" si="17"/>
        <v>0</v>
      </c>
    </row>
    <row r="140" spans="1:23" ht="15" customHeight="1" x14ac:dyDescent="0.2">
      <c r="A140" s="14" t="s">
        <v>2246</v>
      </c>
      <c r="B140" s="14" t="s">
        <v>2247</v>
      </c>
      <c r="C140" s="14" t="s">
        <v>2000</v>
      </c>
      <c r="D140" s="14" t="s">
        <v>45</v>
      </c>
      <c r="E140" s="14" t="s">
        <v>2014</v>
      </c>
      <c r="F140" s="14">
        <v>3139</v>
      </c>
      <c r="G140" s="15">
        <v>27.27</v>
      </c>
      <c r="H140" s="16">
        <v>45965</v>
      </c>
      <c r="I140" s="16">
        <v>46494</v>
      </c>
      <c r="J140" s="16">
        <v>46677</v>
      </c>
      <c r="K140" s="14" t="s">
        <v>2021</v>
      </c>
      <c r="L140" s="16">
        <f>IF(D140="Packaging","",IF(ISNUMBER(J140),J140,IF(ISNUMBER(I140),EDATE(I140,VLOOKUP(D140,Assumptions!$A$10:$B$16,2,0)),"")))</f>
        <v>46677</v>
      </c>
      <c r="M140" s="14">
        <f>IF(ISNUMBER(L140),L140-Assumptions!$B$5,"")</f>
        <v>655</v>
      </c>
      <c r="N140" s="17">
        <f t="shared" si="12"/>
        <v>0</v>
      </c>
      <c r="O140" s="14">
        <f>IF(COUNTIF(Assumptions!$A$25:$A$27,A140)&gt;0,1,0)</f>
        <v>0</v>
      </c>
      <c r="P140" s="14">
        <f>IF(COUNTIF(Assumptions!$B$25:$B$26,A140)&gt;0,1,0)</f>
        <v>0</v>
      </c>
      <c r="Q140" s="14">
        <f>IF(COUNTIF(Assumptions!$C$25:$C$25,A140)&gt;0,1,0)</f>
        <v>0</v>
      </c>
      <c r="R140" s="17">
        <f t="shared" si="13"/>
        <v>0</v>
      </c>
      <c r="S140" s="15" t="str">
        <f>IFERROR(VLOOKUP(A140,Assumptions!$A$31:$B$33,2,0),"")</f>
        <v/>
      </c>
      <c r="T140" s="15">
        <f t="shared" si="14"/>
        <v>27.27</v>
      </c>
      <c r="U140" s="15">
        <f t="shared" si="15"/>
        <v>85600.53</v>
      </c>
      <c r="V140" s="15">
        <f t="shared" si="16"/>
        <v>85600.53</v>
      </c>
      <c r="W140" s="15">
        <f t="shared" si="17"/>
        <v>0</v>
      </c>
    </row>
    <row r="141" spans="1:23" ht="15" customHeight="1" x14ac:dyDescent="0.2">
      <c r="A141" s="14" t="s">
        <v>33</v>
      </c>
      <c r="B141" s="14" t="s">
        <v>2248</v>
      </c>
      <c r="C141" s="14" t="s">
        <v>2108</v>
      </c>
      <c r="D141" s="14" t="s">
        <v>39</v>
      </c>
      <c r="E141" s="14" t="s">
        <v>2037</v>
      </c>
      <c r="F141" s="14">
        <v>2497</v>
      </c>
      <c r="G141" s="15">
        <v>353.04</v>
      </c>
      <c r="H141" s="16">
        <v>45677</v>
      </c>
      <c r="I141" s="16"/>
      <c r="J141" s="16"/>
      <c r="K141" s="14" t="s">
        <v>2030</v>
      </c>
      <c r="L141" s="16" t="str">
        <f>IF(D141="Packaging","",IF(ISNUMBER(J141),J141,IF(ISNUMBER(I141),EDATE(I141,VLOOKUP(D141,Assumptions!$A$10:$B$16,2,0)),"")))</f>
        <v/>
      </c>
      <c r="M141" s="14" t="str">
        <f>IF(ISNUMBER(L141),L141-Assumptions!$B$5,"")</f>
        <v/>
      </c>
      <c r="N141" s="17">
        <f t="shared" si="12"/>
        <v>0</v>
      </c>
      <c r="O141" s="14">
        <f>IF(COUNTIF(Assumptions!$A$25:$A$27,A141)&gt;0,1,0)</f>
        <v>0</v>
      </c>
      <c r="P141" s="14">
        <f>IF(COUNTIF(Assumptions!$B$25:$B$26,A141)&gt;0,1,0)</f>
        <v>0</v>
      </c>
      <c r="Q141" s="14">
        <f>IF(COUNTIF(Assumptions!$C$25:$C$25,A141)&gt;0,1,0)</f>
        <v>1</v>
      </c>
      <c r="R141" s="17">
        <f t="shared" si="13"/>
        <v>1</v>
      </c>
      <c r="S141" s="15" t="str">
        <f>IFERROR(VLOOKUP(A141,Assumptions!$A$31:$B$33,2,0),"")</f>
        <v/>
      </c>
      <c r="T141" s="15">
        <f t="shared" si="14"/>
        <v>353.04</v>
      </c>
      <c r="U141" s="15">
        <f t="shared" si="15"/>
        <v>881540.88</v>
      </c>
      <c r="V141" s="15">
        <f t="shared" si="16"/>
        <v>0</v>
      </c>
      <c r="W141" s="15">
        <f t="shared" si="17"/>
        <v>881540.88</v>
      </c>
    </row>
    <row r="142" spans="1:23" ht="15" customHeight="1" x14ac:dyDescent="0.2">
      <c r="A142" s="14" t="s">
        <v>426</v>
      </c>
      <c r="B142" s="14" t="s">
        <v>425</v>
      </c>
      <c r="C142" s="14" t="s">
        <v>2108</v>
      </c>
      <c r="D142" s="14" t="s">
        <v>39</v>
      </c>
      <c r="E142" s="14" t="s">
        <v>1993</v>
      </c>
      <c r="F142" s="14">
        <v>3553</v>
      </c>
      <c r="G142" s="15">
        <v>161.68</v>
      </c>
      <c r="H142" s="16">
        <v>45584</v>
      </c>
      <c r="I142" s="16">
        <v>45504</v>
      </c>
      <c r="J142" s="16"/>
      <c r="K142" s="14" t="s">
        <v>1989</v>
      </c>
      <c r="L142" s="16">
        <f>IF(D142="Packaging","",IF(ISNUMBER(J142),J142,IF(ISNUMBER(I142),EDATE(I142,VLOOKUP(D142,Assumptions!$A$10:$B$16,2,0)),"")))</f>
        <v>46599</v>
      </c>
      <c r="M142" s="14">
        <f>IF(ISNUMBER(L142),L142-Assumptions!$B$5,"")</f>
        <v>577</v>
      </c>
      <c r="N142" s="17">
        <f t="shared" si="12"/>
        <v>0</v>
      </c>
      <c r="O142" s="14">
        <f>IF(COUNTIF(Assumptions!$A$25:$A$27,A142)&gt;0,1,0)</f>
        <v>0</v>
      </c>
      <c r="P142" s="14">
        <f>IF(COUNTIF(Assumptions!$B$25:$B$26,A142)&gt;0,1,0)</f>
        <v>0</v>
      </c>
      <c r="Q142" s="14">
        <f>IF(COUNTIF(Assumptions!$C$25:$C$25,A142)&gt;0,1,0)</f>
        <v>0</v>
      </c>
      <c r="R142" s="17">
        <f t="shared" si="13"/>
        <v>0</v>
      </c>
      <c r="S142" s="15" t="str">
        <f>IFERROR(VLOOKUP(A142,Assumptions!$A$31:$B$33,2,0),"")</f>
        <v/>
      </c>
      <c r="T142" s="15">
        <f t="shared" si="14"/>
        <v>161.68</v>
      </c>
      <c r="U142" s="15">
        <f t="shared" si="15"/>
        <v>574449.04</v>
      </c>
      <c r="V142" s="15">
        <f t="shared" si="16"/>
        <v>574449.04</v>
      </c>
      <c r="W142" s="15">
        <f t="shared" si="17"/>
        <v>0</v>
      </c>
    </row>
    <row r="143" spans="1:23" ht="15" customHeight="1" x14ac:dyDescent="0.2">
      <c r="A143" s="14" t="s">
        <v>2249</v>
      </c>
      <c r="B143" s="14" t="s">
        <v>2250</v>
      </c>
      <c r="C143" s="14" t="s">
        <v>2000</v>
      </c>
      <c r="D143" s="14" t="s">
        <v>45</v>
      </c>
      <c r="E143" s="14" t="s">
        <v>1988</v>
      </c>
      <c r="F143" s="14">
        <v>4778</v>
      </c>
      <c r="G143" s="15">
        <v>5.42</v>
      </c>
      <c r="H143" s="16">
        <v>45974</v>
      </c>
      <c r="I143" s="16">
        <v>46191</v>
      </c>
      <c r="J143" s="16">
        <v>46374</v>
      </c>
      <c r="K143" s="14" t="s">
        <v>2052</v>
      </c>
      <c r="L143" s="16">
        <f>IF(D143="Packaging","",IF(ISNUMBER(J143),J143,IF(ISNUMBER(I143),EDATE(I143,VLOOKUP(D143,Assumptions!$A$10:$B$16,2,0)),"")))</f>
        <v>46374</v>
      </c>
      <c r="M143" s="14">
        <f>IF(ISNUMBER(L143),L143-Assumptions!$B$5,"")</f>
        <v>352</v>
      </c>
      <c r="N143" s="17">
        <f t="shared" si="12"/>
        <v>0</v>
      </c>
      <c r="O143" s="14">
        <f>IF(COUNTIF(Assumptions!$A$25:$A$27,A143)&gt;0,1,0)</f>
        <v>0</v>
      </c>
      <c r="P143" s="14">
        <f>IF(COUNTIF(Assumptions!$B$25:$B$26,A143)&gt;0,1,0)</f>
        <v>0</v>
      </c>
      <c r="Q143" s="14">
        <f>IF(COUNTIF(Assumptions!$C$25:$C$25,A143)&gt;0,1,0)</f>
        <v>0</v>
      </c>
      <c r="R143" s="17">
        <f t="shared" si="13"/>
        <v>0</v>
      </c>
      <c r="S143" s="15" t="str">
        <f>IFERROR(VLOOKUP(A143,Assumptions!$A$31:$B$33,2,0),"")</f>
        <v/>
      </c>
      <c r="T143" s="15">
        <f t="shared" si="14"/>
        <v>5.42</v>
      </c>
      <c r="U143" s="15">
        <f t="shared" si="15"/>
        <v>25896.76</v>
      </c>
      <c r="V143" s="15">
        <f t="shared" si="16"/>
        <v>25896.76</v>
      </c>
      <c r="W143" s="15">
        <f t="shared" si="17"/>
        <v>0</v>
      </c>
    </row>
    <row r="144" spans="1:23" ht="15" customHeight="1" x14ac:dyDescent="0.2">
      <c r="A144" s="14" t="s">
        <v>2251</v>
      </c>
      <c r="B144" s="14" t="s">
        <v>2252</v>
      </c>
      <c r="C144" s="14" t="s">
        <v>2010</v>
      </c>
      <c r="D144" s="14" t="s">
        <v>46</v>
      </c>
      <c r="E144" s="14" t="s">
        <v>2014</v>
      </c>
      <c r="F144" s="14">
        <v>1018</v>
      </c>
      <c r="G144" s="15">
        <v>289.45999999999998</v>
      </c>
      <c r="H144" s="16">
        <v>45983</v>
      </c>
      <c r="I144" s="16">
        <v>46405</v>
      </c>
      <c r="J144" s="16">
        <v>46678</v>
      </c>
      <c r="K144" s="14" t="s">
        <v>1989</v>
      </c>
      <c r="L144" s="16">
        <f>IF(D144="Packaging","",IF(ISNUMBER(J144),J144,IF(ISNUMBER(I144),EDATE(I144,VLOOKUP(D144,Assumptions!$A$10:$B$16,2,0)),"")))</f>
        <v>46678</v>
      </c>
      <c r="M144" s="14">
        <f>IF(ISNUMBER(L144),L144-Assumptions!$B$5,"")</f>
        <v>656</v>
      </c>
      <c r="N144" s="17">
        <f t="shared" si="12"/>
        <v>0</v>
      </c>
      <c r="O144" s="14">
        <f>IF(COUNTIF(Assumptions!$A$25:$A$27,A144)&gt;0,1,0)</f>
        <v>0</v>
      </c>
      <c r="P144" s="14">
        <f>IF(COUNTIF(Assumptions!$B$25:$B$26,A144)&gt;0,1,0)</f>
        <v>0</v>
      </c>
      <c r="Q144" s="14">
        <f>IF(COUNTIF(Assumptions!$C$25:$C$25,A144)&gt;0,1,0)</f>
        <v>0</v>
      </c>
      <c r="R144" s="17">
        <f t="shared" si="13"/>
        <v>0</v>
      </c>
      <c r="S144" s="15" t="str">
        <f>IFERROR(VLOOKUP(A144,Assumptions!$A$31:$B$33,2,0),"")</f>
        <v/>
      </c>
      <c r="T144" s="15">
        <f t="shared" si="14"/>
        <v>289.45999999999998</v>
      </c>
      <c r="U144" s="15">
        <f t="shared" si="15"/>
        <v>294670.27999999997</v>
      </c>
      <c r="V144" s="15">
        <f t="shared" si="16"/>
        <v>294670.27999999997</v>
      </c>
      <c r="W144" s="15">
        <f t="shared" si="17"/>
        <v>0</v>
      </c>
    </row>
    <row r="145" spans="1:23" ht="15" customHeight="1" x14ac:dyDescent="0.2">
      <c r="A145" s="14" t="s">
        <v>253</v>
      </c>
      <c r="B145" s="14" t="s">
        <v>252</v>
      </c>
      <c r="C145" s="14" t="s">
        <v>1987</v>
      </c>
      <c r="D145" s="14" t="s">
        <v>36</v>
      </c>
      <c r="E145" s="14" t="s">
        <v>2014</v>
      </c>
      <c r="F145" s="14">
        <v>1027</v>
      </c>
      <c r="G145" s="15">
        <v>0.65</v>
      </c>
      <c r="H145" s="16">
        <v>45803</v>
      </c>
      <c r="I145" s="16">
        <v>45766</v>
      </c>
      <c r="J145" s="16"/>
      <c r="K145" s="14" t="s">
        <v>2052</v>
      </c>
      <c r="L145" s="16">
        <f>IF(D145="Packaging","",IF(ISNUMBER(J145),J145,IF(ISNUMBER(I145),EDATE(I145,VLOOKUP(D145,Assumptions!$A$10:$B$16,2,0)),"")))</f>
        <v>46496</v>
      </c>
      <c r="M145" s="14">
        <f>IF(ISNUMBER(L145),L145-Assumptions!$B$5,"")</f>
        <v>474</v>
      </c>
      <c r="N145" s="17">
        <f t="shared" si="12"/>
        <v>0</v>
      </c>
      <c r="O145" s="14">
        <f>IF(COUNTIF(Assumptions!$A$25:$A$27,A145)&gt;0,1,0)</f>
        <v>0</v>
      </c>
      <c r="P145" s="14">
        <f>IF(COUNTIF(Assumptions!$B$25:$B$26,A145)&gt;0,1,0)</f>
        <v>0</v>
      </c>
      <c r="Q145" s="14">
        <f>IF(COUNTIF(Assumptions!$C$25:$C$25,A145)&gt;0,1,0)</f>
        <v>0</v>
      </c>
      <c r="R145" s="17">
        <f t="shared" si="13"/>
        <v>0</v>
      </c>
      <c r="S145" s="15" t="str">
        <f>IFERROR(VLOOKUP(A145,Assumptions!$A$31:$B$33,2,0),"")</f>
        <v/>
      </c>
      <c r="T145" s="15">
        <f t="shared" si="14"/>
        <v>0.65</v>
      </c>
      <c r="U145" s="15">
        <f t="shared" si="15"/>
        <v>667.55000000000007</v>
      </c>
      <c r="V145" s="15">
        <f t="shared" si="16"/>
        <v>667.55000000000007</v>
      </c>
      <c r="W145" s="15">
        <f t="shared" si="17"/>
        <v>0</v>
      </c>
    </row>
    <row r="146" spans="1:23" ht="15" customHeight="1" x14ac:dyDescent="0.2">
      <c r="A146" s="14" t="s">
        <v>447</v>
      </c>
      <c r="B146" s="14" t="s">
        <v>446</v>
      </c>
      <c r="C146" s="14" t="s">
        <v>2043</v>
      </c>
      <c r="D146" s="14" t="s">
        <v>39</v>
      </c>
      <c r="E146" s="14" t="s">
        <v>1993</v>
      </c>
      <c r="F146" s="14">
        <v>4280</v>
      </c>
      <c r="G146" s="15">
        <v>161.56</v>
      </c>
      <c r="H146" s="16">
        <v>45668</v>
      </c>
      <c r="I146" s="16">
        <v>45615</v>
      </c>
      <c r="J146" s="16">
        <v>46710</v>
      </c>
      <c r="K146" s="14" t="s">
        <v>2015</v>
      </c>
      <c r="L146" s="16">
        <f>IF(D146="Packaging","",IF(ISNUMBER(J146),J146,IF(ISNUMBER(I146),EDATE(I146,VLOOKUP(D146,Assumptions!$A$10:$B$16,2,0)),"")))</f>
        <v>46710</v>
      </c>
      <c r="M146" s="14">
        <f>IF(ISNUMBER(L146),L146-Assumptions!$B$5,"")</f>
        <v>688</v>
      </c>
      <c r="N146" s="17">
        <f t="shared" si="12"/>
        <v>0</v>
      </c>
      <c r="O146" s="14">
        <f>IF(COUNTIF(Assumptions!$A$25:$A$27,A146)&gt;0,1,0)</f>
        <v>0</v>
      </c>
      <c r="P146" s="14">
        <f>IF(COUNTIF(Assumptions!$B$25:$B$26,A146)&gt;0,1,0)</f>
        <v>0</v>
      </c>
      <c r="Q146" s="14">
        <f>IF(COUNTIF(Assumptions!$C$25:$C$25,A146)&gt;0,1,0)</f>
        <v>0</v>
      </c>
      <c r="R146" s="17">
        <f t="shared" si="13"/>
        <v>0</v>
      </c>
      <c r="S146" s="15" t="str">
        <f>IFERROR(VLOOKUP(A146,Assumptions!$A$31:$B$33,2,0),"")</f>
        <v/>
      </c>
      <c r="T146" s="15">
        <f t="shared" si="14"/>
        <v>161.56</v>
      </c>
      <c r="U146" s="15">
        <f t="shared" si="15"/>
        <v>691476.8</v>
      </c>
      <c r="V146" s="15">
        <f t="shared" si="16"/>
        <v>691476.8</v>
      </c>
      <c r="W146" s="15">
        <f t="shared" si="17"/>
        <v>0</v>
      </c>
    </row>
    <row r="147" spans="1:23" ht="15" customHeight="1" x14ac:dyDescent="0.2">
      <c r="A147" s="14" t="s">
        <v>2253</v>
      </c>
      <c r="B147" s="14" t="s">
        <v>2254</v>
      </c>
      <c r="C147" s="14" t="s">
        <v>1987</v>
      </c>
      <c r="D147" s="14" t="s">
        <v>36</v>
      </c>
      <c r="E147" s="14" t="s">
        <v>2037</v>
      </c>
      <c r="F147" s="14">
        <v>4130</v>
      </c>
      <c r="G147" s="15">
        <v>314.82</v>
      </c>
      <c r="H147" s="16">
        <v>45982</v>
      </c>
      <c r="I147" s="16">
        <v>46084</v>
      </c>
      <c r="J147" s="16"/>
      <c r="K147" s="14" t="s">
        <v>2030</v>
      </c>
      <c r="L147" s="16">
        <f>IF(D147="Packaging","",IF(ISNUMBER(J147),J147,IF(ISNUMBER(I147),EDATE(I147,VLOOKUP(D147,Assumptions!$A$10:$B$16,2,0)),"")))</f>
        <v>46815</v>
      </c>
      <c r="M147" s="14">
        <f>IF(ISNUMBER(L147),L147-Assumptions!$B$5,"")</f>
        <v>793</v>
      </c>
      <c r="N147" s="17">
        <f t="shared" si="12"/>
        <v>0</v>
      </c>
      <c r="O147" s="14">
        <f>IF(COUNTIF(Assumptions!$A$25:$A$27,A147)&gt;0,1,0)</f>
        <v>0</v>
      </c>
      <c r="P147" s="14">
        <f>IF(COUNTIF(Assumptions!$B$25:$B$26,A147)&gt;0,1,0)</f>
        <v>0</v>
      </c>
      <c r="Q147" s="14">
        <f>IF(COUNTIF(Assumptions!$C$25:$C$25,A147)&gt;0,1,0)</f>
        <v>0</v>
      </c>
      <c r="R147" s="17">
        <f t="shared" si="13"/>
        <v>0</v>
      </c>
      <c r="S147" s="15" t="str">
        <f>IFERROR(VLOOKUP(A147,Assumptions!$A$31:$B$33,2,0),"")</f>
        <v/>
      </c>
      <c r="T147" s="15">
        <f t="shared" si="14"/>
        <v>314.82</v>
      </c>
      <c r="U147" s="15">
        <f t="shared" si="15"/>
        <v>1300206.5999999999</v>
      </c>
      <c r="V147" s="15">
        <f t="shared" si="16"/>
        <v>1300206.5999999999</v>
      </c>
      <c r="W147" s="15">
        <f t="shared" si="17"/>
        <v>0</v>
      </c>
    </row>
    <row r="148" spans="1:23" ht="15" customHeight="1" x14ac:dyDescent="0.2">
      <c r="A148" s="14" t="s">
        <v>474</v>
      </c>
      <c r="B148" s="14" t="s">
        <v>473</v>
      </c>
      <c r="C148" s="14" t="s">
        <v>2108</v>
      </c>
      <c r="D148" s="14" t="s">
        <v>39</v>
      </c>
      <c r="E148" s="14" t="s">
        <v>1988</v>
      </c>
      <c r="F148" s="14">
        <v>4614</v>
      </c>
      <c r="G148" s="15">
        <v>214.75</v>
      </c>
      <c r="H148" s="16">
        <v>45781</v>
      </c>
      <c r="I148" s="16">
        <v>45698</v>
      </c>
      <c r="J148" s="16">
        <v>46793</v>
      </c>
      <c r="K148" s="14" t="s">
        <v>2030</v>
      </c>
      <c r="L148" s="16">
        <f>IF(D148="Packaging","",IF(ISNUMBER(J148),J148,IF(ISNUMBER(I148),EDATE(I148,VLOOKUP(D148,Assumptions!$A$10:$B$16,2,0)),"")))</f>
        <v>46793</v>
      </c>
      <c r="M148" s="14">
        <f>IF(ISNUMBER(L148),L148-Assumptions!$B$5,"")</f>
        <v>771</v>
      </c>
      <c r="N148" s="17">
        <f t="shared" si="12"/>
        <v>0</v>
      </c>
      <c r="O148" s="14">
        <f>IF(COUNTIF(Assumptions!$A$25:$A$27,A148)&gt;0,1,0)</f>
        <v>0</v>
      </c>
      <c r="P148" s="14">
        <f>IF(COUNTIF(Assumptions!$B$25:$B$26,A148)&gt;0,1,0)</f>
        <v>0</v>
      </c>
      <c r="Q148" s="14">
        <f>IF(COUNTIF(Assumptions!$C$25:$C$25,A148)&gt;0,1,0)</f>
        <v>0</v>
      </c>
      <c r="R148" s="17">
        <f t="shared" si="13"/>
        <v>0</v>
      </c>
      <c r="S148" s="15" t="str">
        <f>IFERROR(VLOOKUP(A148,Assumptions!$A$31:$B$33,2,0),"")</f>
        <v/>
      </c>
      <c r="T148" s="15">
        <f t="shared" si="14"/>
        <v>214.75</v>
      </c>
      <c r="U148" s="15">
        <f t="shared" si="15"/>
        <v>990856.5</v>
      </c>
      <c r="V148" s="15">
        <f t="shared" si="16"/>
        <v>990856.5</v>
      </c>
      <c r="W148" s="15">
        <f t="shared" si="17"/>
        <v>0</v>
      </c>
    </row>
    <row r="149" spans="1:23" ht="15" customHeight="1" x14ac:dyDescent="0.2">
      <c r="A149" s="14" t="s">
        <v>2255</v>
      </c>
      <c r="B149" s="14" t="s">
        <v>2256</v>
      </c>
      <c r="C149" s="14" t="s">
        <v>2036</v>
      </c>
      <c r="D149" s="14" t="s">
        <v>45</v>
      </c>
      <c r="E149" s="14" t="s">
        <v>2014</v>
      </c>
      <c r="F149" s="14">
        <v>3866</v>
      </c>
      <c r="G149" s="15">
        <v>317.52999999999997</v>
      </c>
      <c r="H149" s="16">
        <v>45964</v>
      </c>
      <c r="I149" s="16">
        <v>46411</v>
      </c>
      <c r="J149" s="16">
        <v>46592</v>
      </c>
      <c r="K149" s="14" t="s">
        <v>2030</v>
      </c>
      <c r="L149" s="16">
        <f>IF(D149="Packaging","",IF(ISNUMBER(J149),J149,IF(ISNUMBER(I149),EDATE(I149,VLOOKUP(D149,Assumptions!$A$10:$B$16,2,0)),"")))</f>
        <v>46592</v>
      </c>
      <c r="M149" s="14">
        <f>IF(ISNUMBER(L149),L149-Assumptions!$B$5,"")</f>
        <v>570</v>
      </c>
      <c r="N149" s="17">
        <f t="shared" si="12"/>
        <v>0</v>
      </c>
      <c r="O149" s="14">
        <f>IF(COUNTIF(Assumptions!$A$25:$A$27,A149)&gt;0,1,0)</f>
        <v>0</v>
      </c>
      <c r="P149" s="14">
        <f>IF(COUNTIF(Assumptions!$B$25:$B$26,A149)&gt;0,1,0)</f>
        <v>0</v>
      </c>
      <c r="Q149" s="14">
        <f>IF(COUNTIF(Assumptions!$C$25:$C$25,A149)&gt;0,1,0)</f>
        <v>0</v>
      </c>
      <c r="R149" s="17">
        <f t="shared" si="13"/>
        <v>0</v>
      </c>
      <c r="S149" s="15" t="str">
        <f>IFERROR(VLOOKUP(A149,Assumptions!$A$31:$B$33,2,0),"")</f>
        <v/>
      </c>
      <c r="T149" s="15">
        <f t="shared" si="14"/>
        <v>317.52999999999997</v>
      </c>
      <c r="U149" s="15">
        <f t="shared" si="15"/>
        <v>1227570.98</v>
      </c>
      <c r="V149" s="15">
        <f t="shared" si="16"/>
        <v>1227570.98</v>
      </c>
      <c r="W149" s="15">
        <f t="shared" si="17"/>
        <v>0</v>
      </c>
    </row>
    <row r="150" spans="1:23" ht="15" customHeight="1" x14ac:dyDescent="0.2">
      <c r="A150" s="14" t="s">
        <v>2257</v>
      </c>
      <c r="B150" s="14" t="s">
        <v>2258</v>
      </c>
      <c r="C150" s="14" t="s">
        <v>2061</v>
      </c>
      <c r="D150" s="14" t="s">
        <v>44</v>
      </c>
      <c r="E150" s="14" t="s">
        <v>2037</v>
      </c>
      <c r="F150" s="14">
        <v>3995</v>
      </c>
      <c r="G150" s="15">
        <v>303.39</v>
      </c>
      <c r="H150" s="16">
        <v>45422</v>
      </c>
      <c r="I150" s="16">
        <v>45383</v>
      </c>
      <c r="J150" s="16">
        <v>45931</v>
      </c>
      <c r="K150" s="14" t="s">
        <v>2004</v>
      </c>
      <c r="L150" s="16">
        <f>IF(D150="Packaging","",IF(ISNUMBER(J150),J150,IF(ISNUMBER(I150),EDATE(I150,VLOOKUP(D150,Assumptions!$A$10:$B$16,2,0)),"")))</f>
        <v>45931</v>
      </c>
      <c r="M150" s="14">
        <f>IF(ISNUMBER(L150),L150-Assumptions!$B$5,"")</f>
        <v>-91</v>
      </c>
      <c r="N150" s="17">
        <f t="shared" si="12"/>
        <v>1</v>
      </c>
      <c r="O150" s="14">
        <f>IF(COUNTIF(Assumptions!$A$25:$A$27,A150)&gt;0,1,0)</f>
        <v>0</v>
      </c>
      <c r="P150" s="14">
        <f>IF(COUNTIF(Assumptions!$B$25:$B$26,A150)&gt;0,1,0)</f>
        <v>0</v>
      </c>
      <c r="Q150" s="14">
        <f>IF(COUNTIF(Assumptions!$C$25:$C$25,A150)&gt;0,1,0)</f>
        <v>0</v>
      </c>
      <c r="R150" s="17">
        <f t="shared" si="13"/>
        <v>1</v>
      </c>
      <c r="S150" s="15" t="str">
        <f>IFERROR(VLOOKUP(A150,Assumptions!$A$31:$B$33,2,0),"")</f>
        <v/>
      </c>
      <c r="T150" s="15">
        <f t="shared" si="14"/>
        <v>303.39</v>
      </c>
      <c r="U150" s="15">
        <f t="shared" si="15"/>
        <v>1212043.05</v>
      </c>
      <c r="V150" s="15">
        <f t="shared" si="16"/>
        <v>0</v>
      </c>
      <c r="W150" s="15">
        <f t="shared" si="17"/>
        <v>1212043.05</v>
      </c>
    </row>
    <row r="151" spans="1:23" ht="15" customHeight="1" x14ac:dyDescent="0.2">
      <c r="A151" s="14" t="s">
        <v>271</v>
      </c>
      <c r="B151" s="14" t="s">
        <v>270</v>
      </c>
      <c r="C151" s="14" t="s">
        <v>1435</v>
      </c>
      <c r="D151" s="14" t="s">
        <v>36</v>
      </c>
      <c r="E151" s="14" t="s">
        <v>2037</v>
      </c>
      <c r="F151" s="14">
        <v>608</v>
      </c>
      <c r="G151" s="15">
        <v>219.25</v>
      </c>
      <c r="H151" s="16">
        <v>45648</v>
      </c>
      <c r="I151" s="16">
        <v>45643</v>
      </c>
      <c r="J151" s="16">
        <v>46373</v>
      </c>
      <c r="K151" s="14" t="s">
        <v>2052</v>
      </c>
      <c r="L151" s="16">
        <f>IF(D151="Packaging","",IF(ISNUMBER(J151),J151,IF(ISNUMBER(I151),EDATE(I151,VLOOKUP(D151,Assumptions!$A$10:$B$16,2,0)),"")))</f>
        <v>46373</v>
      </c>
      <c r="M151" s="14">
        <f>IF(ISNUMBER(L151),L151-Assumptions!$B$5,"")</f>
        <v>351</v>
      </c>
      <c r="N151" s="17">
        <f t="shared" si="12"/>
        <v>0</v>
      </c>
      <c r="O151" s="14">
        <f>IF(COUNTIF(Assumptions!$A$25:$A$27,A151)&gt;0,1,0)</f>
        <v>0</v>
      </c>
      <c r="P151" s="14">
        <f>IF(COUNTIF(Assumptions!$B$25:$B$26,A151)&gt;0,1,0)</f>
        <v>0</v>
      </c>
      <c r="Q151" s="14">
        <f>IF(COUNTIF(Assumptions!$C$25:$C$25,A151)&gt;0,1,0)</f>
        <v>0</v>
      </c>
      <c r="R151" s="17">
        <f t="shared" si="13"/>
        <v>0</v>
      </c>
      <c r="S151" s="15" t="str">
        <f>IFERROR(VLOOKUP(A151,Assumptions!$A$31:$B$33,2,0),"")</f>
        <v/>
      </c>
      <c r="T151" s="15">
        <f t="shared" si="14"/>
        <v>219.25</v>
      </c>
      <c r="U151" s="15">
        <f t="shared" si="15"/>
        <v>133304</v>
      </c>
      <c r="V151" s="15">
        <f t="shared" si="16"/>
        <v>133304</v>
      </c>
      <c r="W151" s="15">
        <f t="shared" si="17"/>
        <v>0</v>
      </c>
    </row>
    <row r="152" spans="1:23" ht="15" customHeight="1" x14ac:dyDescent="0.2">
      <c r="A152" s="14" t="s">
        <v>2259</v>
      </c>
      <c r="B152" s="14" t="s">
        <v>2260</v>
      </c>
      <c r="C152" s="14" t="s">
        <v>1992</v>
      </c>
      <c r="D152" s="14" t="s">
        <v>45</v>
      </c>
      <c r="E152" s="14" t="s">
        <v>2037</v>
      </c>
      <c r="F152" s="14">
        <v>3964</v>
      </c>
      <c r="G152" s="15">
        <v>14.82</v>
      </c>
      <c r="H152" s="16">
        <v>45970</v>
      </c>
      <c r="I152" s="16">
        <v>46237</v>
      </c>
      <c r="J152" s="16"/>
      <c r="K152" s="14" t="s">
        <v>2030</v>
      </c>
      <c r="L152" s="16">
        <f>IF(D152="Packaging","",IF(ISNUMBER(J152),J152,IF(ISNUMBER(I152),EDATE(I152,VLOOKUP(D152,Assumptions!$A$10:$B$16,2,0)),"")))</f>
        <v>46421</v>
      </c>
      <c r="M152" s="14">
        <f>IF(ISNUMBER(L152),L152-Assumptions!$B$5,"")</f>
        <v>399</v>
      </c>
      <c r="N152" s="17">
        <f t="shared" si="12"/>
        <v>0</v>
      </c>
      <c r="O152" s="14">
        <f>IF(COUNTIF(Assumptions!$A$25:$A$27,A152)&gt;0,1,0)</f>
        <v>0</v>
      </c>
      <c r="P152" s="14">
        <f>IF(COUNTIF(Assumptions!$B$25:$B$26,A152)&gt;0,1,0)</f>
        <v>0</v>
      </c>
      <c r="Q152" s="14">
        <f>IF(COUNTIF(Assumptions!$C$25:$C$25,A152)&gt;0,1,0)</f>
        <v>0</v>
      </c>
      <c r="R152" s="17">
        <f t="shared" si="13"/>
        <v>0</v>
      </c>
      <c r="S152" s="15" t="str">
        <f>IFERROR(VLOOKUP(A152,Assumptions!$A$31:$B$33,2,0),"")</f>
        <v/>
      </c>
      <c r="T152" s="15">
        <f t="shared" si="14"/>
        <v>14.82</v>
      </c>
      <c r="U152" s="15">
        <f t="shared" si="15"/>
        <v>58746.48</v>
      </c>
      <c r="V152" s="15">
        <f t="shared" si="16"/>
        <v>58746.48</v>
      </c>
      <c r="W152" s="15">
        <f t="shared" si="17"/>
        <v>0</v>
      </c>
    </row>
    <row r="153" spans="1:23" ht="15" customHeight="1" x14ac:dyDescent="0.2">
      <c r="A153" s="14" t="s">
        <v>2261</v>
      </c>
      <c r="B153" s="14" t="s">
        <v>2262</v>
      </c>
      <c r="C153" s="14" t="s">
        <v>2142</v>
      </c>
      <c r="D153" s="14" t="s">
        <v>44</v>
      </c>
      <c r="E153" s="14" t="s">
        <v>1993</v>
      </c>
      <c r="F153" s="14">
        <v>511</v>
      </c>
      <c r="G153" s="15">
        <v>390.89</v>
      </c>
      <c r="H153" s="16">
        <v>45964</v>
      </c>
      <c r="I153" s="16">
        <v>46205</v>
      </c>
      <c r="J153" s="16">
        <v>46754</v>
      </c>
      <c r="K153" s="14" t="s">
        <v>1989</v>
      </c>
      <c r="L153" s="16">
        <f>IF(D153="Packaging","",IF(ISNUMBER(J153),J153,IF(ISNUMBER(I153),EDATE(I153,VLOOKUP(D153,Assumptions!$A$10:$B$16,2,0)),"")))</f>
        <v>46754</v>
      </c>
      <c r="M153" s="14">
        <f>IF(ISNUMBER(L153),L153-Assumptions!$B$5,"")</f>
        <v>732</v>
      </c>
      <c r="N153" s="17">
        <f t="shared" si="12"/>
        <v>0</v>
      </c>
      <c r="O153" s="14">
        <f>IF(COUNTIF(Assumptions!$A$25:$A$27,A153)&gt;0,1,0)</f>
        <v>0</v>
      </c>
      <c r="P153" s="14">
        <f>IF(COUNTIF(Assumptions!$B$25:$B$26,A153)&gt;0,1,0)</f>
        <v>0</v>
      </c>
      <c r="Q153" s="14">
        <f>IF(COUNTIF(Assumptions!$C$25:$C$25,A153)&gt;0,1,0)</f>
        <v>0</v>
      </c>
      <c r="R153" s="17">
        <f t="shared" si="13"/>
        <v>0</v>
      </c>
      <c r="S153" s="15" t="str">
        <f>IFERROR(VLOOKUP(A153,Assumptions!$A$31:$B$33,2,0),"")</f>
        <v/>
      </c>
      <c r="T153" s="15">
        <f t="shared" si="14"/>
        <v>390.89</v>
      </c>
      <c r="U153" s="15">
        <f t="shared" si="15"/>
        <v>199744.78999999998</v>
      </c>
      <c r="V153" s="15">
        <f t="shared" si="16"/>
        <v>199744.78999999998</v>
      </c>
      <c r="W153" s="15">
        <f t="shared" si="17"/>
        <v>0</v>
      </c>
    </row>
    <row r="154" spans="1:23" ht="15" customHeight="1" x14ac:dyDescent="0.2">
      <c r="A154" s="14" t="s">
        <v>307</v>
      </c>
      <c r="B154" s="14" t="s">
        <v>306</v>
      </c>
      <c r="C154" s="14" t="s">
        <v>2137</v>
      </c>
      <c r="D154" s="14" t="s">
        <v>36</v>
      </c>
      <c r="E154" s="14" t="s">
        <v>1993</v>
      </c>
      <c r="F154" s="14">
        <v>2799</v>
      </c>
      <c r="G154" s="15">
        <v>356.3</v>
      </c>
      <c r="H154" s="16">
        <v>45668</v>
      </c>
      <c r="I154" s="16">
        <v>45662</v>
      </c>
      <c r="J154" s="16">
        <v>46392</v>
      </c>
      <c r="K154" s="14" t="s">
        <v>2030</v>
      </c>
      <c r="L154" s="16">
        <f>IF(D154="Packaging","",IF(ISNUMBER(J154),J154,IF(ISNUMBER(I154),EDATE(I154,VLOOKUP(D154,Assumptions!$A$10:$B$16,2,0)),"")))</f>
        <v>46392</v>
      </c>
      <c r="M154" s="14">
        <f>IF(ISNUMBER(L154),L154-Assumptions!$B$5,"")</f>
        <v>370</v>
      </c>
      <c r="N154" s="17">
        <f t="shared" si="12"/>
        <v>0</v>
      </c>
      <c r="O154" s="14">
        <f>IF(COUNTIF(Assumptions!$A$25:$A$27,A154)&gt;0,1,0)</f>
        <v>0</v>
      </c>
      <c r="P154" s="14">
        <f>IF(COUNTIF(Assumptions!$B$25:$B$26,A154)&gt;0,1,0)</f>
        <v>0</v>
      </c>
      <c r="Q154" s="14">
        <f>IF(COUNTIF(Assumptions!$C$25:$C$25,A154)&gt;0,1,0)</f>
        <v>0</v>
      </c>
      <c r="R154" s="17">
        <f t="shared" si="13"/>
        <v>0</v>
      </c>
      <c r="S154" s="15" t="str">
        <f>IFERROR(VLOOKUP(A154,Assumptions!$A$31:$B$33,2,0),"")</f>
        <v/>
      </c>
      <c r="T154" s="15">
        <f t="shared" si="14"/>
        <v>356.3</v>
      </c>
      <c r="U154" s="15">
        <f t="shared" si="15"/>
        <v>997283.70000000007</v>
      </c>
      <c r="V154" s="15">
        <f t="shared" si="16"/>
        <v>997283.70000000007</v>
      </c>
      <c r="W154" s="15">
        <f t="shared" si="17"/>
        <v>0</v>
      </c>
    </row>
    <row r="155" spans="1:23" ht="15" customHeight="1" x14ac:dyDescent="0.2">
      <c r="A155" s="14" t="s">
        <v>518</v>
      </c>
      <c r="B155" s="14" t="s">
        <v>517</v>
      </c>
      <c r="C155" s="14" t="s">
        <v>2022</v>
      </c>
      <c r="D155" s="14" t="s">
        <v>39</v>
      </c>
      <c r="E155" s="14" t="s">
        <v>1993</v>
      </c>
      <c r="F155" s="14">
        <v>1027</v>
      </c>
      <c r="G155" s="15">
        <v>109.41</v>
      </c>
      <c r="H155" s="16">
        <v>45385</v>
      </c>
      <c r="I155" s="16">
        <v>45364</v>
      </c>
      <c r="J155" s="16">
        <v>46459</v>
      </c>
      <c r="K155" s="14" t="s">
        <v>2015</v>
      </c>
      <c r="L155" s="16">
        <f>IF(D155="Packaging","",IF(ISNUMBER(J155),J155,IF(ISNUMBER(I155),EDATE(I155,VLOOKUP(D155,Assumptions!$A$10:$B$16,2,0)),"")))</f>
        <v>46459</v>
      </c>
      <c r="M155" s="14">
        <f>IF(ISNUMBER(L155),L155-Assumptions!$B$5,"")</f>
        <v>437</v>
      </c>
      <c r="N155" s="17">
        <f t="shared" si="12"/>
        <v>0</v>
      </c>
      <c r="O155" s="14">
        <f>IF(COUNTIF(Assumptions!$A$25:$A$27,A155)&gt;0,1,0)</f>
        <v>0</v>
      </c>
      <c r="P155" s="14">
        <f>IF(COUNTIF(Assumptions!$B$25:$B$26,A155)&gt;0,1,0)</f>
        <v>0</v>
      </c>
      <c r="Q155" s="14">
        <f>IF(COUNTIF(Assumptions!$C$25:$C$25,A155)&gt;0,1,0)</f>
        <v>0</v>
      </c>
      <c r="R155" s="17">
        <f t="shared" si="13"/>
        <v>0</v>
      </c>
      <c r="S155" s="15" t="str">
        <f>IFERROR(VLOOKUP(A155,Assumptions!$A$31:$B$33,2,0),"")</f>
        <v/>
      </c>
      <c r="T155" s="15">
        <f t="shared" si="14"/>
        <v>109.41</v>
      </c>
      <c r="U155" s="15">
        <f t="shared" si="15"/>
        <v>112364.06999999999</v>
      </c>
      <c r="V155" s="15">
        <f t="shared" si="16"/>
        <v>112364.06999999999</v>
      </c>
      <c r="W155" s="15">
        <f t="shared" si="17"/>
        <v>0</v>
      </c>
    </row>
    <row r="156" spans="1:23" ht="15" customHeight="1" x14ac:dyDescent="0.2">
      <c r="A156" s="14" t="s">
        <v>2263</v>
      </c>
      <c r="B156" s="14" t="s">
        <v>2264</v>
      </c>
      <c r="C156" s="14" t="s">
        <v>2049</v>
      </c>
      <c r="D156" s="14" t="s">
        <v>42</v>
      </c>
      <c r="E156" s="14" t="s">
        <v>1993</v>
      </c>
      <c r="F156" s="14">
        <v>3326</v>
      </c>
      <c r="G156" s="15">
        <v>142.66999999999999</v>
      </c>
      <c r="H156" s="16">
        <v>46013</v>
      </c>
      <c r="I156" s="16">
        <v>46303</v>
      </c>
      <c r="J156" s="16">
        <v>46668</v>
      </c>
      <c r="K156" s="14" t="s">
        <v>2015</v>
      </c>
      <c r="L156" s="16">
        <f>IF(D156="Packaging","",IF(ISNUMBER(J156),J156,IF(ISNUMBER(I156),EDATE(I156,VLOOKUP(D156,Assumptions!$A$10:$B$16,2,0)),"")))</f>
        <v>46668</v>
      </c>
      <c r="M156" s="14">
        <f>IF(ISNUMBER(L156),L156-Assumptions!$B$5,"")</f>
        <v>646</v>
      </c>
      <c r="N156" s="17">
        <f t="shared" si="12"/>
        <v>0</v>
      </c>
      <c r="O156" s="14">
        <f>IF(COUNTIF(Assumptions!$A$25:$A$27,A156)&gt;0,1,0)</f>
        <v>0</v>
      </c>
      <c r="P156" s="14">
        <f>IF(COUNTIF(Assumptions!$B$25:$B$26,A156)&gt;0,1,0)</f>
        <v>0</v>
      </c>
      <c r="Q156" s="14">
        <f>IF(COUNTIF(Assumptions!$C$25:$C$25,A156)&gt;0,1,0)</f>
        <v>0</v>
      </c>
      <c r="R156" s="17">
        <f t="shared" si="13"/>
        <v>0</v>
      </c>
      <c r="S156" s="15" t="str">
        <f>IFERROR(VLOOKUP(A156,Assumptions!$A$31:$B$33,2,0),"")</f>
        <v/>
      </c>
      <c r="T156" s="15">
        <f t="shared" si="14"/>
        <v>142.66999999999999</v>
      </c>
      <c r="U156" s="15">
        <f t="shared" si="15"/>
        <v>474520.42</v>
      </c>
      <c r="V156" s="15">
        <f t="shared" si="16"/>
        <v>474520.42</v>
      </c>
      <c r="W156" s="15">
        <f t="shared" si="17"/>
        <v>0</v>
      </c>
    </row>
    <row r="157" spans="1:23" ht="15" customHeight="1" x14ac:dyDescent="0.2">
      <c r="A157" s="14" t="s">
        <v>2265</v>
      </c>
      <c r="B157" s="14" t="s">
        <v>2266</v>
      </c>
      <c r="C157" s="14" t="s">
        <v>2007</v>
      </c>
      <c r="D157" s="14" t="s">
        <v>47</v>
      </c>
      <c r="E157" s="14" t="s">
        <v>1988</v>
      </c>
      <c r="F157" s="14">
        <v>4742</v>
      </c>
      <c r="G157" s="15">
        <v>268.64999999999998</v>
      </c>
      <c r="H157" s="16">
        <v>45721</v>
      </c>
      <c r="I157" s="16">
        <v>45646</v>
      </c>
      <c r="J157" s="16"/>
      <c r="K157" s="14" t="s">
        <v>1989</v>
      </c>
      <c r="L157" s="16" t="str">
        <f>IF(D157="Packaging","",IF(ISNUMBER(J157),J157,IF(ISNUMBER(I157),EDATE(I157,VLOOKUP(D157,Assumptions!$A$10:$B$16,2,0)),"")))</f>
        <v/>
      </c>
      <c r="M157" s="14" t="str">
        <f>IF(ISNUMBER(L157),L157-Assumptions!$B$5,"")</f>
        <v/>
      </c>
      <c r="N157" s="17">
        <f t="shared" si="12"/>
        <v>0</v>
      </c>
      <c r="O157" s="14">
        <f>IF(COUNTIF(Assumptions!$A$25:$A$27,A157)&gt;0,1,0)</f>
        <v>0</v>
      </c>
      <c r="P157" s="14">
        <f>IF(COUNTIF(Assumptions!$B$25:$B$26,A157)&gt;0,1,0)</f>
        <v>0</v>
      </c>
      <c r="Q157" s="14">
        <f>IF(COUNTIF(Assumptions!$C$25:$C$25,A157)&gt;0,1,0)</f>
        <v>0</v>
      </c>
      <c r="R157" s="17">
        <f t="shared" si="13"/>
        <v>0</v>
      </c>
      <c r="S157" s="15" t="str">
        <f>IFERROR(VLOOKUP(A157,Assumptions!$A$31:$B$33,2,0),"")</f>
        <v/>
      </c>
      <c r="T157" s="15">
        <f t="shared" si="14"/>
        <v>268.64999999999998</v>
      </c>
      <c r="U157" s="15">
        <f t="shared" si="15"/>
        <v>1273938.2999999998</v>
      </c>
      <c r="V157" s="15">
        <f t="shared" si="16"/>
        <v>1273938.2999999998</v>
      </c>
      <c r="W157" s="15">
        <f t="shared" si="17"/>
        <v>0</v>
      </c>
    </row>
    <row r="158" spans="1:23" ht="15" customHeight="1" x14ac:dyDescent="0.2">
      <c r="A158" s="14" t="s">
        <v>2267</v>
      </c>
      <c r="B158" s="14" t="s">
        <v>2268</v>
      </c>
      <c r="C158" s="14" t="s">
        <v>2066</v>
      </c>
      <c r="D158" s="14" t="s">
        <v>42</v>
      </c>
      <c r="E158" s="14" t="s">
        <v>2037</v>
      </c>
      <c r="F158" s="14">
        <v>4708</v>
      </c>
      <c r="G158" s="15">
        <v>180.52</v>
      </c>
      <c r="H158" s="16">
        <v>45988</v>
      </c>
      <c r="I158" s="16">
        <v>46278</v>
      </c>
      <c r="J158" s="16">
        <v>46643</v>
      </c>
      <c r="K158" s="14" t="s">
        <v>2052</v>
      </c>
      <c r="L158" s="16">
        <f>IF(D158="Packaging","",IF(ISNUMBER(J158),J158,IF(ISNUMBER(I158),EDATE(I158,VLOOKUP(D158,Assumptions!$A$10:$B$16,2,0)),"")))</f>
        <v>46643</v>
      </c>
      <c r="M158" s="14">
        <f>IF(ISNUMBER(L158),L158-Assumptions!$B$5,"")</f>
        <v>621</v>
      </c>
      <c r="N158" s="17">
        <f t="shared" si="12"/>
        <v>0</v>
      </c>
      <c r="O158" s="14">
        <f>IF(COUNTIF(Assumptions!$A$25:$A$27,A158)&gt;0,1,0)</f>
        <v>0</v>
      </c>
      <c r="P158" s="14">
        <f>IF(COUNTIF(Assumptions!$B$25:$B$26,A158)&gt;0,1,0)</f>
        <v>0</v>
      </c>
      <c r="Q158" s="14">
        <f>IF(COUNTIF(Assumptions!$C$25:$C$25,A158)&gt;0,1,0)</f>
        <v>0</v>
      </c>
      <c r="R158" s="17">
        <f t="shared" si="13"/>
        <v>0</v>
      </c>
      <c r="S158" s="15" t="str">
        <f>IFERROR(VLOOKUP(A158,Assumptions!$A$31:$B$33,2,0),"")</f>
        <v/>
      </c>
      <c r="T158" s="15">
        <f t="shared" si="14"/>
        <v>180.52</v>
      </c>
      <c r="U158" s="15">
        <f t="shared" si="15"/>
        <v>849888.16</v>
      </c>
      <c r="V158" s="15">
        <f t="shared" si="16"/>
        <v>849888.16</v>
      </c>
      <c r="W158" s="15">
        <f t="shared" si="17"/>
        <v>0</v>
      </c>
    </row>
    <row r="159" spans="1:23" ht="15" customHeight="1" x14ac:dyDescent="0.2">
      <c r="A159" s="14" t="s">
        <v>2269</v>
      </c>
      <c r="B159" s="14" t="s">
        <v>2270</v>
      </c>
      <c r="C159" s="14" t="s">
        <v>2076</v>
      </c>
      <c r="D159" s="14" t="s">
        <v>45</v>
      </c>
      <c r="E159" s="14" t="s">
        <v>2014</v>
      </c>
      <c r="F159" s="14">
        <v>249</v>
      </c>
      <c r="G159" s="15">
        <v>84.1</v>
      </c>
      <c r="H159" s="16">
        <v>46004</v>
      </c>
      <c r="I159" s="16">
        <v>46458</v>
      </c>
      <c r="J159" s="16">
        <v>46642</v>
      </c>
      <c r="K159" s="14" t="s">
        <v>2021</v>
      </c>
      <c r="L159" s="16">
        <f>IF(D159="Packaging","",IF(ISNUMBER(J159),J159,IF(ISNUMBER(I159),EDATE(I159,VLOOKUP(D159,Assumptions!$A$10:$B$16,2,0)),"")))</f>
        <v>46642</v>
      </c>
      <c r="M159" s="14">
        <f>IF(ISNUMBER(L159),L159-Assumptions!$B$5,"")</f>
        <v>620</v>
      </c>
      <c r="N159" s="17">
        <f t="shared" si="12"/>
        <v>0</v>
      </c>
      <c r="O159" s="14">
        <f>IF(COUNTIF(Assumptions!$A$25:$A$27,A159)&gt;0,1,0)</f>
        <v>0</v>
      </c>
      <c r="P159" s="14">
        <f>IF(COUNTIF(Assumptions!$B$25:$B$26,A159)&gt;0,1,0)</f>
        <v>0</v>
      </c>
      <c r="Q159" s="14">
        <f>IF(COUNTIF(Assumptions!$C$25:$C$25,A159)&gt;0,1,0)</f>
        <v>0</v>
      </c>
      <c r="R159" s="17">
        <f t="shared" si="13"/>
        <v>0</v>
      </c>
      <c r="S159" s="15" t="str">
        <f>IFERROR(VLOOKUP(A159,Assumptions!$A$31:$B$33,2,0),"")</f>
        <v/>
      </c>
      <c r="T159" s="15">
        <f t="shared" si="14"/>
        <v>84.1</v>
      </c>
      <c r="U159" s="15">
        <f t="shared" si="15"/>
        <v>20940.899999999998</v>
      </c>
      <c r="V159" s="15">
        <f t="shared" si="16"/>
        <v>20940.899999999998</v>
      </c>
      <c r="W159" s="15">
        <f t="shared" si="17"/>
        <v>0</v>
      </c>
    </row>
    <row r="160" spans="1:23" ht="15" customHeight="1" x14ac:dyDescent="0.2">
      <c r="A160" s="14" t="s">
        <v>2271</v>
      </c>
      <c r="B160" s="14" t="s">
        <v>2272</v>
      </c>
      <c r="C160" s="14" t="s">
        <v>2027</v>
      </c>
      <c r="D160" s="14" t="s">
        <v>44</v>
      </c>
      <c r="E160" s="14" t="s">
        <v>1988</v>
      </c>
      <c r="F160" s="14">
        <v>2045</v>
      </c>
      <c r="G160" s="15">
        <v>105.64</v>
      </c>
      <c r="H160" s="16">
        <v>45597</v>
      </c>
      <c r="I160" s="16">
        <v>45519</v>
      </c>
      <c r="J160" s="16">
        <v>46068</v>
      </c>
      <c r="K160" s="14" t="s">
        <v>2030</v>
      </c>
      <c r="L160" s="16">
        <f>IF(D160="Packaging","",IF(ISNUMBER(J160),J160,IF(ISNUMBER(I160),EDATE(I160,VLOOKUP(D160,Assumptions!$A$10:$B$16,2,0)),"")))</f>
        <v>46068</v>
      </c>
      <c r="M160" s="14">
        <f>IF(ISNUMBER(L160),L160-Assumptions!$B$5,"")</f>
        <v>46</v>
      </c>
      <c r="N160" s="17">
        <f t="shared" si="12"/>
        <v>0.5</v>
      </c>
      <c r="O160" s="14">
        <f>IF(COUNTIF(Assumptions!$A$25:$A$27,A160)&gt;0,1,0)</f>
        <v>0</v>
      </c>
      <c r="P160" s="14">
        <f>IF(COUNTIF(Assumptions!$B$25:$B$26,A160)&gt;0,1,0)</f>
        <v>0</v>
      </c>
      <c r="Q160" s="14">
        <f>IF(COUNTIF(Assumptions!$C$25:$C$25,A160)&gt;0,1,0)</f>
        <v>0</v>
      </c>
      <c r="R160" s="17">
        <f t="shared" si="13"/>
        <v>0.5</v>
      </c>
      <c r="S160" s="15" t="str">
        <f>IFERROR(VLOOKUP(A160,Assumptions!$A$31:$B$33,2,0),"")</f>
        <v/>
      </c>
      <c r="T160" s="15">
        <f t="shared" si="14"/>
        <v>105.64</v>
      </c>
      <c r="U160" s="15">
        <f t="shared" si="15"/>
        <v>216033.8</v>
      </c>
      <c r="V160" s="15">
        <f t="shared" si="16"/>
        <v>108016.9</v>
      </c>
      <c r="W160" s="15">
        <f t="shared" si="17"/>
        <v>108016.9</v>
      </c>
    </row>
    <row r="161" spans="1:23" ht="15" customHeight="1" x14ac:dyDescent="0.2">
      <c r="A161" s="14" t="s">
        <v>2273</v>
      </c>
      <c r="B161" s="14" t="s">
        <v>2274</v>
      </c>
      <c r="C161" s="14" t="s">
        <v>2033</v>
      </c>
      <c r="D161" s="14" t="s">
        <v>47</v>
      </c>
      <c r="E161" s="14" t="s">
        <v>2037</v>
      </c>
      <c r="F161" s="14">
        <v>3624</v>
      </c>
      <c r="G161" s="15">
        <v>159.1</v>
      </c>
      <c r="H161" s="16">
        <v>45687</v>
      </c>
      <c r="I161" s="16">
        <v>45667</v>
      </c>
      <c r="J161" s="16"/>
      <c r="K161" s="14" t="s">
        <v>1989</v>
      </c>
      <c r="L161" s="16" t="str">
        <f>IF(D161="Packaging","",IF(ISNUMBER(J161),J161,IF(ISNUMBER(I161),EDATE(I161,VLOOKUP(D161,Assumptions!$A$10:$B$16,2,0)),"")))</f>
        <v/>
      </c>
      <c r="M161" s="14" t="str">
        <f>IF(ISNUMBER(L161),L161-Assumptions!$B$5,"")</f>
        <v/>
      </c>
      <c r="N161" s="17">
        <f t="shared" si="12"/>
        <v>0</v>
      </c>
      <c r="O161" s="14">
        <f>IF(COUNTIF(Assumptions!$A$25:$A$27,A161)&gt;0,1,0)</f>
        <v>0</v>
      </c>
      <c r="P161" s="14">
        <f>IF(COUNTIF(Assumptions!$B$25:$B$26,A161)&gt;0,1,0)</f>
        <v>0</v>
      </c>
      <c r="Q161" s="14">
        <f>IF(COUNTIF(Assumptions!$C$25:$C$25,A161)&gt;0,1,0)</f>
        <v>0</v>
      </c>
      <c r="R161" s="17">
        <f t="shared" si="13"/>
        <v>0</v>
      </c>
      <c r="S161" s="15" t="str">
        <f>IFERROR(VLOOKUP(A161,Assumptions!$A$31:$B$33,2,0),"")</f>
        <v/>
      </c>
      <c r="T161" s="15">
        <f t="shared" si="14"/>
        <v>159.1</v>
      </c>
      <c r="U161" s="15">
        <f t="shared" si="15"/>
        <v>576578.4</v>
      </c>
      <c r="V161" s="15">
        <f t="shared" si="16"/>
        <v>576578.4</v>
      </c>
      <c r="W161" s="15">
        <f t="shared" si="17"/>
        <v>0</v>
      </c>
    </row>
    <row r="162" spans="1:23" ht="15" customHeight="1" x14ac:dyDescent="0.2">
      <c r="A162" s="14" t="s">
        <v>2275</v>
      </c>
      <c r="B162" s="14" t="s">
        <v>2276</v>
      </c>
      <c r="C162" s="14" t="s">
        <v>2219</v>
      </c>
      <c r="D162" s="14" t="s">
        <v>42</v>
      </c>
      <c r="E162" s="14" t="s">
        <v>2014</v>
      </c>
      <c r="F162" s="14">
        <v>2406</v>
      </c>
      <c r="G162" s="15">
        <v>122.16</v>
      </c>
      <c r="H162" s="16">
        <v>46010</v>
      </c>
      <c r="I162" s="16">
        <v>46399</v>
      </c>
      <c r="J162" s="16">
        <v>46764</v>
      </c>
      <c r="K162" s="14" t="s">
        <v>2030</v>
      </c>
      <c r="L162" s="16">
        <f>IF(D162="Packaging","",IF(ISNUMBER(J162),J162,IF(ISNUMBER(I162),EDATE(I162,VLOOKUP(D162,Assumptions!$A$10:$B$16,2,0)),"")))</f>
        <v>46764</v>
      </c>
      <c r="M162" s="14">
        <f>IF(ISNUMBER(L162),L162-Assumptions!$B$5,"")</f>
        <v>742</v>
      </c>
      <c r="N162" s="17">
        <f t="shared" si="12"/>
        <v>0</v>
      </c>
      <c r="O162" s="14">
        <f>IF(COUNTIF(Assumptions!$A$25:$A$27,A162)&gt;0,1,0)</f>
        <v>0</v>
      </c>
      <c r="P162" s="14">
        <f>IF(COUNTIF(Assumptions!$B$25:$B$26,A162)&gt;0,1,0)</f>
        <v>0</v>
      </c>
      <c r="Q162" s="14">
        <f>IF(COUNTIF(Assumptions!$C$25:$C$25,A162)&gt;0,1,0)</f>
        <v>0</v>
      </c>
      <c r="R162" s="17">
        <f t="shared" si="13"/>
        <v>0</v>
      </c>
      <c r="S162" s="15" t="str">
        <f>IFERROR(VLOOKUP(A162,Assumptions!$A$31:$B$33,2,0),"")</f>
        <v/>
      </c>
      <c r="T162" s="15">
        <f t="shared" si="14"/>
        <v>122.16</v>
      </c>
      <c r="U162" s="15">
        <f t="shared" si="15"/>
        <v>293916.95999999996</v>
      </c>
      <c r="V162" s="15">
        <f t="shared" si="16"/>
        <v>293916.95999999996</v>
      </c>
      <c r="W162" s="15">
        <f t="shared" si="17"/>
        <v>0</v>
      </c>
    </row>
    <row r="163" spans="1:23" ht="15" customHeight="1" x14ac:dyDescent="0.2">
      <c r="A163" s="14" t="s">
        <v>310</v>
      </c>
      <c r="B163" s="14" t="s">
        <v>309</v>
      </c>
      <c r="C163" s="14" t="s">
        <v>2018</v>
      </c>
      <c r="D163" s="14" t="s">
        <v>36</v>
      </c>
      <c r="E163" s="14" t="s">
        <v>1993</v>
      </c>
      <c r="F163" s="14">
        <v>4721</v>
      </c>
      <c r="G163" s="15">
        <v>52.29</v>
      </c>
      <c r="H163" s="16">
        <v>45728</v>
      </c>
      <c r="I163" s="16">
        <v>45714</v>
      </c>
      <c r="J163" s="16">
        <v>46444</v>
      </c>
      <c r="K163" s="14" t="s">
        <v>2004</v>
      </c>
      <c r="L163" s="16">
        <f>IF(D163="Packaging","",IF(ISNUMBER(J163),J163,IF(ISNUMBER(I163),EDATE(I163,VLOOKUP(D163,Assumptions!$A$10:$B$16,2,0)),"")))</f>
        <v>46444</v>
      </c>
      <c r="M163" s="14">
        <f>IF(ISNUMBER(L163),L163-Assumptions!$B$5,"")</f>
        <v>422</v>
      </c>
      <c r="N163" s="17">
        <f t="shared" si="12"/>
        <v>0</v>
      </c>
      <c r="O163" s="14">
        <f>IF(COUNTIF(Assumptions!$A$25:$A$27,A163)&gt;0,1,0)</f>
        <v>0</v>
      </c>
      <c r="P163" s="14">
        <f>IF(COUNTIF(Assumptions!$B$25:$B$26,A163)&gt;0,1,0)</f>
        <v>0</v>
      </c>
      <c r="Q163" s="14">
        <f>IF(COUNTIF(Assumptions!$C$25:$C$25,A163)&gt;0,1,0)</f>
        <v>0</v>
      </c>
      <c r="R163" s="17">
        <f t="shared" si="13"/>
        <v>0</v>
      </c>
      <c r="S163" s="15" t="str">
        <f>IFERROR(VLOOKUP(A163,Assumptions!$A$31:$B$33,2,0),"")</f>
        <v/>
      </c>
      <c r="T163" s="15">
        <f t="shared" si="14"/>
        <v>52.29</v>
      </c>
      <c r="U163" s="15">
        <f t="shared" si="15"/>
        <v>246861.09</v>
      </c>
      <c r="V163" s="15">
        <f t="shared" si="16"/>
        <v>246861.09</v>
      </c>
      <c r="W163" s="15">
        <f t="shared" si="17"/>
        <v>0</v>
      </c>
    </row>
    <row r="164" spans="1:23" ht="15" customHeight="1" x14ac:dyDescent="0.2">
      <c r="A164" s="14" t="s">
        <v>528</v>
      </c>
      <c r="B164" s="14" t="s">
        <v>527</v>
      </c>
      <c r="C164" s="14" t="s">
        <v>2043</v>
      </c>
      <c r="D164" s="14" t="s">
        <v>39</v>
      </c>
      <c r="E164" s="14" t="s">
        <v>1988</v>
      </c>
      <c r="F164" s="14">
        <v>2043</v>
      </c>
      <c r="G164" s="15">
        <v>367.87</v>
      </c>
      <c r="H164" s="16">
        <v>45511</v>
      </c>
      <c r="I164" s="16">
        <v>45486</v>
      </c>
      <c r="J164" s="16">
        <v>46581</v>
      </c>
      <c r="K164" s="14" t="s">
        <v>2004</v>
      </c>
      <c r="L164" s="16">
        <f>IF(D164="Packaging","",IF(ISNUMBER(J164),J164,IF(ISNUMBER(I164),EDATE(I164,VLOOKUP(D164,Assumptions!$A$10:$B$16,2,0)),"")))</f>
        <v>46581</v>
      </c>
      <c r="M164" s="14">
        <f>IF(ISNUMBER(L164),L164-Assumptions!$B$5,"")</f>
        <v>559</v>
      </c>
      <c r="N164" s="17">
        <f t="shared" si="12"/>
        <v>0</v>
      </c>
      <c r="O164" s="14">
        <f>IF(COUNTIF(Assumptions!$A$25:$A$27,A164)&gt;0,1,0)</f>
        <v>0</v>
      </c>
      <c r="P164" s="14">
        <f>IF(COUNTIF(Assumptions!$B$25:$B$26,A164)&gt;0,1,0)</f>
        <v>0</v>
      </c>
      <c r="Q164" s="14">
        <f>IF(COUNTIF(Assumptions!$C$25:$C$25,A164)&gt;0,1,0)</f>
        <v>0</v>
      </c>
      <c r="R164" s="17">
        <f t="shared" si="13"/>
        <v>0</v>
      </c>
      <c r="S164" s="15" t="str">
        <f>IFERROR(VLOOKUP(A164,Assumptions!$A$31:$B$33,2,0),"")</f>
        <v/>
      </c>
      <c r="T164" s="15">
        <f t="shared" si="14"/>
        <v>367.87</v>
      </c>
      <c r="U164" s="15">
        <f t="shared" si="15"/>
        <v>751558.41</v>
      </c>
      <c r="V164" s="15">
        <f t="shared" si="16"/>
        <v>751558.41</v>
      </c>
      <c r="W164" s="15">
        <f t="shared" si="17"/>
        <v>0</v>
      </c>
    </row>
    <row r="165" spans="1:23" ht="15" customHeight="1" x14ac:dyDescent="0.2">
      <c r="A165" s="14" t="s">
        <v>2277</v>
      </c>
      <c r="B165" s="14" t="s">
        <v>2156</v>
      </c>
      <c r="C165" s="14" t="s">
        <v>2042</v>
      </c>
      <c r="D165" s="14" t="s">
        <v>47</v>
      </c>
      <c r="E165" s="14" t="s">
        <v>2014</v>
      </c>
      <c r="F165" s="14">
        <v>4749</v>
      </c>
      <c r="G165" s="15">
        <v>21.46</v>
      </c>
      <c r="H165" s="16">
        <v>45597</v>
      </c>
      <c r="I165" s="16">
        <v>45572</v>
      </c>
      <c r="J165" s="16"/>
      <c r="K165" s="14" t="s">
        <v>1994</v>
      </c>
      <c r="L165" s="16" t="str">
        <f>IF(D165="Packaging","",IF(ISNUMBER(J165),J165,IF(ISNUMBER(I165),EDATE(I165,VLOOKUP(D165,Assumptions!$A$10:$B$16,2,0)),"")))</f>
        <v/>
      </c>
      <c r="M165" s="14" t="str">
        <f>IF(ISNUMBER(L165),L165-Assumptions!$B$5,"")</f>
        <v/>
      </c>
      <c r="N165" s="17">
        <f t="shared" si="12"/>
        <v>0</v>
      </c>
      <c r="O165" s="14">
        <f>IF(COUNTIF(Assumptions!$A$25:$A$27,A165)&gt;0,1,0)</f>
        <v>0</v>
      </c>
      <c r="P165" s="14">
        <f>IF(COUNTIF(Assumptions!$B$25:$B$26,A165)&gt;0,1,0)</f>
        <v>0</v>
      </c>
      <c r="Q165" s="14">
        <f>IF(COUNTIF(Assumptions!$C$25:$C$25,A165)&gt;0,1,0)</f>
        <v>0</v>
      </c>
      <c r="R165" s="17">
        <f t="shared" si="13"/>
        <v>0</v>
      </c>
      <c r="S165" s="15" t="str">
        <f>IFERROR(VLOOKUP(A165,Assumptions!$A$31:$B$33,2,0),"")</f>
        <v/>
      </c>
      <c r="T165" s="15">
        <f t="shared" si="14"/>
        <v>21.46</v>
      </c>
      <c r="U165" s="15">
        <f t="shared" si="15"/>
        <v>101913.54000000001</v>
      </c>
      <c r="V165" s="15">
        <f t="shared" si="16"/>
        <v>101913.54000000001</v>
      </c>
      <c r="W165" s="15">
        <f t="shared" si="17"/>
        <v>0</v>
      </c>
    </row>
    <row r="166" spans="1:23" ht="15" customHeight="1" x14ac:dyDescent="0.2">
      <c r="A166" s="14" t="s">
        <v>2278</v>
      </c>
      <c r="B166" s="14" t="s">
        <v>2279</v>
      </c>
      <c r="C166" s="14" t="s">
        <v>2089</v>
      </c>
      <c r="D166" s="14" t="s">
        <v>46</v>
      </c>
      <c r="E166" s="14" t="s">
        <v>1993</v>
      </c>
      <c r="F166" s="14">
        <v>1958</v>
      </c>
      <c r="G166" s="15">
        <v>201.85</v>
      </c>
      <c r="H166" s="16">
        <v>45975</v>
      </c>
      <c r="I166" s="16">
        <v>46595</v>
      </c>
      <c r="J166" s="16"/>
      <c r="K166" s="14" t="s">
        <v>2052</v>
      </c>
      <c r="L166" s="16">
        <f>IF(D166="Packaging","",IF(ISNUMBER(J166),J166,IF(ISNUMBER(I166),EDATE(I166,VLOOKUP(D166,Assumptions!$A$10:$B$16,2,0)),"")))</f>
        <v>46870</v>
      </c>
      <c r="M166" s="14">
        <f>IF(ISNUMBER(L166),L166-Assumptions!$B$5,"")</f>
        <v>848</v>
      </c>
      <c r="N166" s="17">
        <f t="shared" si="12"/>
        <v>0</v>
      </c>
      <c r="O166" s="14">
        <f>IF(COUNTIF(Assumptions!$A$25:$A$27,A166)&gt;0,1,0)</f>
        <v>0</v>
      </c>
      <c r="P166" s="14">
        <f>IF(COUNTIF(Assumptions!$B$25:$B$26,A166)&gt;0,1,0)</f>
        <v>0</v>
      </c>
      <c r="Q166" s="14">
        <f>IF(COUNTIF(Assumptions!$C$25:$C$25,A166)&gt;0,1,0)</f>
        <v>0</v>
      </c>
      <c r="R166" s="17">
        <f t="shared" si="13"/>
        <v>0</v>
      </c>
      <c r="S166" s="15" t="str">
        <f>IFERROR(VLOOKUP(A166,Assumptions!$A$31:$B$33,2,0),"")</f>
        <v/>
      </c>
      <c r="T166" s="15">
        <f t="shared" si="14"/>
        <v>201.85</v>
      </c>
      <c r="U166" s="15">
        <f t="shared" si="15"/>
        <v>395222.3</v>
      </c>
      <c r="V166" s="15">
        <f t="shared" si="16"/>
        <v>395222.3</v>
      </c>
      <c r="W166" s="15">
        <f t="shared" si="17"/>
        <v>0</v>
      </c>
    </row>
    <row r="167" spans="1:23" ht="15" customHeight="1" x14ac:dyDescent="0.2">
      <c r="A167" s="14" t="s">
        <v>2280</v>
      </c>
      <c r="B167" s="14" t="s">
        <v>2281</v>
      </c>
      <c r="C167" s="14" t="s">
        <v>2033</v>
      </c>
      <c r="D167" s="14" t="s">
        <v>47</v>
      </c>
      <c r="E167" s="14" t="s">
        <v>2037</v>
      </c>
      <c r="F167" s="14">
        <v>266</v>
      </c>
      <c r="G167" s="15">
        <v>251.41</v>
      </c>
      <c r="H167" s="16">
        <v>45516</v>
      </c>
      <c r="I167" s="16">
        <v>45452</v>
      </c>
      <c r="J167" s="16"/>
      <c r="K167" s="14" t="s">
        <v>2015</v>
      </c>
      <c r="L167" s="16" t="str">
        <f>IF(D167="Packaging","",IF(ISNUMBER(J167),J167,IF(ISNUMBER(I167),EDATE(I167,VLOOKUP(D167,Assumptions!$A$10:$B$16,2,0)),"")))</f>
        <v/>
      </c>
      <c r="M167" s="14" t="str">
        <f>IF(ISNUMBER(L167),L167-Assumptions!$B$5,"")</f>
        <v/>
      </c>
      <c r="N167" s="17">
        <f t="shared" si="12"/>
        <v>0</v>
      </c>
      <c r="O167" s="14">
        <f>IF(COUNTIF(Assumptions!$A$25:$A$27,A167)&gt;0,1,0)</f>
        <v>0</v>
      </c>
      <c r="P167" s="14">
        <f>IF(COUNTIF(Assumptions!$B$25:$B$26,A167)&gt;0,1,0)</f>
        <v>0</v>
      </c>
      <c r="Q167" s="14">
        <f>IF(COUNTIF(Assumptions!$C$25:$C$25,A167)&gt;0,1,0)</f>
        <v>0</v>
      </c>
      <c r="R167" s="17">
        <f t="shared" si="13"/>
        <v>0</v>
      </c>
      <c r="S167" s="15" t="str">
        <f>IFERROR(VLOOKUP(A167,Assumptions!$A$31:$B$33,2,0),"")</f>
        <v/>
      </c>
      <c r="T167" s="15">
        <f t="shared" si="14"/>
        <v>251.41</v>
      </c>
      <c r="U167" s="15">
        <f t="shared" si="15"/>
        <v>66875.06</v>
      </c>
      <c r="V167" s="15">
        <f t="shared" si="16"/>
        <v>66875.06</v>
      </c>
      <c r="W167" s="15">
        <f t="shared" si="17"/>
        <v>0</v>
      </c>
    </row>
    <row r="168" spans="1:23" ht="15" customHeight="1" x14ac:dyDescent="0.2">
      <c r="A168" s="14" t="s">
        <v>355</v>
      </c>
      <c r="B168" s="14" t="s">
        <v>354</v>
      </c>
      <c r="C168" s="14" t="s">
        <v>2137</v>
      </c>
      <c r="D168" s="14" t="s">
        <v>36</v>
      </c>
      <c r="E168" s="14" t="s">
        <v>2014</v>
      </c>
      <c r="F168" s="14">
        <v>703</v>
      </c>
      <c r="G168" s="15">
        <v>396.22</v>
      </c>
      <c r="H168" s="16">
        <v>45825</v>
      </c>
      <c r="I168" s="16">
        <v>45771</v>
      </c>
      <c r="J168" s="16"/>
      <c r="K168" s="14" t="s">
        <v>1989</v>
      </c>
      <c r="L168" s="16">
        <f>IF(D168="Packaging","",IF(ISNUMBER(J168),J168,IF(ISNUMBER(I168),EDATE(I168,VLOOKUP(D168,Assumptions!$A$10:$B$16,2,0)),"")))</f>
        <v>46501</v>
      </c>
      <c r="M168" s="14">
        <f>IF(ISNUMBER(L168),L168-Assumptions!$B$5,"")</f>
        <v>479</v>
      </c>
      <c r="N168" s="17">
        <f t="shared" si="12"/>
        <v>0</v>
      </c>
      <c r="O168" s="14">
        <f>IF(COUNTIF(Assumptions!$A$25:$A$27,A168)&gt;0,1,0)</f>
        <v>0</v>
      </c>
      <c r="P168" s="14">
        <f>IF(COUNTIF(Assumptions!$B$25:$B$26,A168)&gt;0,1,0)</f>
        <v>0</v>
      </c>
      <c r="Q168" s="14">
        <f>IF(COUNTIF(Assumptions!$C$25:$C$25,A168)&gt;0,1,0)</f>
        <v>0</v>
      </c>
      <c r="R168" s="17">
        <f t="shared" si="13"/>
        <v>0</v>
      </c>
      <c r="S168" s="15" t="str">
        <f>IFERROR(VLOOKUP(A168,Assumptions!$A$31:$B$33,2,0),"")</f>
        <v/>
      </c>
      <c r="T168" s="15">
        <f t="shared" si="14"/>
        <v>396.22</v>
      </c>
      <c r="U168" s="15">
        <f t="shared" si="15"/>
        <v>278542.66000000003</v>
      </c>
      <c r="V168" s="15">
        <f t="shared" si="16"/>
        <v>278542.66000000003</v>
      </c>
      <c r="W168" s="15">
        <f t="shared" si="17"/>
        <v>0</v>
      </c>
    </row>
    <row r="169" spans="1:23" ht="15" customHeight="1" x14ac:dyDescent="0.2">
      <c r="A169" s="14" t="s">
        <v>2282</v>
      </c>
      <c r="B169" s="14" t="s">
        <v>2283</v>
      </c>
      <c r="C169" s="14" t="s">
        <v>2010</v>
      </c>
      <c r="D169" s="14" t="s">
        <v>46</v>
      </c>
      <c r="E169" s="14" t="s">
        <v>1993</v>
      </c>
      <c r="F169" s="14">
        <v>1256</v>
      </c>
      <c r="G169" s="15">
        <v>325.95999999999998</v>
      </c>
      <c r="H169" s="16">
        <v>45992</v>
      </c>
      <c r="I169" s="16">
        <v>46419</v>
      </c>
      <c r="J169" s="16"/>
      <c r="K169" s="14" t="s">
        <v>2004</v>
      </c>
      <c r="L169" s="16">
        <f>IF(D169="Packaging","",IF(ISNUMBER(J169),J169,IF(ISNUMBER(I169),EDATE(I169,VLOOKUP(D169,Assumptions!$A$10:$B$16,2,0)),"")))</f>
        <v>46692</v>
      </c>
      <c r="M169" s="14">
        <f>IF(ISNUMBER(L169),L169-Assumptions!$B$5,"")</f>
        <v>670</v>
      </c>
      <c r="N169" s="17">
        <f t="shared" si="12"/>
        <v>0</v>
      </c>
      <c r="O169" s="14">
        <f>IF(COUNTIF(Assumptions!$A$25:$A$27,A169)&gt;0,1,0)</f>
        <v>0</v>
      </c>
      <c r="P169" s="14">
        <f>IF(COUNTIF(Assumptions!$B$25:$B$26,A169)&gt;0,1,0)</f>
        <v>0</v>
      </c>
      <c r="Q169" s="14">
        <f>IF(COUNTIF(Assumptions!$C$25:$C$25,A169)&gt;0,1,0)</f>
        <v>0</v>
      </c>
      <c r="R169" s="17">
        <f t="shared" si="13"/>
        <v>0</v>
      </c>
      <c r="S169" s="15" t="str">
        <f>IFERROR(VLOOKUP(A169,Assumptions!$A$31:$B$33,2,0),"")</f>
        <v/>
      </c>
      <c r="T169" s="15">
        <f t="shared" si="14"/>
        <v>325.95999999999998</v>
      </c>
      <c r="U169" s="15">
        <f t="shared" si="15"/>
        <v>409405.75999999995</v>
      </c>
      <c r="V169" s="15">
        <f t="shared" si="16"/>
        <v>409405.75999999995</v>
      </c>
      <c r="W169" s="15">
        <f t="shared" si="17"/>
        <v>0</v>
      </c>
    </row>
    <row r="170" spans="1:23" ht="15" customHeight="1" x14ac:dyDescent="0.2">
      <c r="A170" s="14" t="s">
        <v>2284</v>
      </c>
      <c r="B170" s="14" t="s">
        <v>2285</v>
      </c>
      <c r="C170" s="14" t="s">
        <v>2061</v>
      </c>
      <c r="D170" s="14" t="s">
        <v>44</v>
      </c>
      <c r="E170" s="14" t="s">
        <v>2037</v>
      </c>
      <c r="F170" s="14">
        <v>3899</v>
      </c>
      <c r="G170" s="15">
        <v>8.1</v>
      </c>
      <c r="H170" s="16">
        <v>45981</v>
      </c>
      <c r="I170" s="16">
        <v>46050</v>
      </c>
      <c r="J170" s="16">
        <v>46596</v>
      </c>
      <c r="K170" s="14" t="s">
        <v>2004</v>
      </c>
      <c r="L170" s="16">
        <f>IF(D170="Packaging","",IF(ISNUMBER(J170),J170,IF(ISNUMBER(I170),EDATE(I170,VLOOKUP(D170,Assumptions!$A$10:$B$16,2,0)),"")))</f>
        <v>46596</v>
      </c>
      <c r="M170" s="14">
        <f>IF(ISNUMBER(L170),L170-Assumptions!$B$5,"")</f>
        <v>574</v>
      </c>
      <c r="N170" s="17">
        <f t="shared" si="12"/>
        <v>0</v>
      </c>
      <c r="O170" s="14">
        <f>IF(COUNTIF(Assumptions!$A$25:$A$27,A170)&gt;0,1,0)</f>
        <v>0</v>
      </c>
      <c r="P170" s="14">
        <f>IF(COUNTIF(Assumptions!$B$25:$B$26,A170)&gt;0,1,0)</f>
        <v>0</v>
      </c>
      <c r="Q170" s="14">
        <f>IF(COUNTIF(Assumptions!$C$25:$C$25,A170)&gt;0,1,0)</f>
        <v>0</v>
      </c>
      <c r="R170" s="17">
        <f t="shared" si="13"/>
        <v>0</v>
      </c>
      <c r="S170" s="15" t="str">
        <f>IFERROR(VLOOKUP(A170,Assumptions!$A$31:$B$33,2,0),"")</f>
        <v/>
      </c>
      <c r="T170" s="15">
        <f t="shared" si="14"/>
        <v>8.1</v>
      </c>
      <c r="U170" s="15">
        <f t="shared" si="15"/>
        <v>31581.899999999998</v>
      </c>
      <c r="V170" s="15">
        <f t="shared" si="16"/>
        <v>31581.899999999998</v>
      </c>
      <c r="W170" s="15">
        <f t="shared" si="17"/>
        <v>0</v>
      </c>
    </row>
    <row r="171" spans="1:23" ht="15" customHeight="1" x14ac:dyDescent="0.2">
      <c r="A171" s="14" t="s">
        <v>2286</v>
      </c>
      <c r="B171" s="14" t="s">
        <v>2287</v>
      </c>
      <c r="C171" s="14" t="s">
        <v>2042</v>
      </c>
      <c r="D171" s="14" t="s">
        <v>47</v>
      </c>
      <c r="E171" s="14" t="s">
        <v>2014</v>
      </c>
      <c r="F171" s="14">
        <v>2312</v>
      </c>
      <c r="G171" s="15">
        <v>180.65</v>
      </c>
      <c r="H171" s="16">
        <v>45642</v>
      </c>
      <c r="I171" s="16">
        <v>45582</v>
      </c>
      <c r="J171" s="16"/>
      <c r="K171" s="14" t="s">
        <v>2052</v>
      </c>
      <c r="L171" s="16" t="str">
        <f>IF(D171="Packaging","",IF(ISNUMBER(J171),J171,IF(ISNUMBER(I171),EDATE(I171,VLOOKUP(D171,Assumptions!$A$10:$B$16,2,0)),"")))</f>
        <v/>
      </c>
      <c r="M171" s="14" t="str">
        <f>IF(ISNUMBER(L171),L171-Assumptions!$B$5,"")</f>
        <v/>
      </c>
      <c r="N171" s="17">
        <f t="shared" si="12"/>
        <v>0</v>
      </c>
      <c r="O171" s="14">
        <f>IF(COUNTIF(Assumptions!$A$25:$A$27,A171)&gt;0,1,0)</f>
        <v>0</v>
      </c>
      <c r="P171" s="14">
        <f>IF(COUNTIF(Assumptions!$B$25:$B$26,A171)&gt;0,1,0)</f>
        <v>0</v>
      </c>
      <c r="Q171" s="14">
        <f>IF(COUNTIF(Assumptions!$C$25:$C$25,A171)&gt;0,1,0)</f>
        <v>0</v>
      </c>
      <c r="R171" s="17">
        <f t="shared" si="13"/>
        <v>0</v>
      </c>
      <c r="S171" s="15" t="str">
        <f>IFERROR(VLOOKUP(A171,Assumptions!$A$31:$B$33,2,0),"")</f>
        <v/>
      </c>
      <c r="T171" s="15">
        <f t="shared" si="14"/>
        <v>180.65</v>
      </c>
      <c r="U171" s="15">
        <f t="shared" si="15"/>
        <v>417662.8</v>
      </c>
      <c r="V171" s="15">
        <f t="shared" si="16"/>
        <v>417662.8</v>
      </c>
      <c r="W171" s="15">
        <f t="shared" si="17"/>
        <v>0</v>
      </c>
    </row>
    <row r="172" spans="1:23" ht="15" customHeight="1" x14ac:dyDescent="0.2">
      <c r="A172" s="14" t="s">
        <v>2288</v>
      </c>
      <c r="B172" s="14" t="s">
        <v>2289</v>
      </c>
      <c r="C172" s="14" t="s">
        <v>2159</v>
      </c>
      <c r="D172" s="14" t="s">
        <v>46</v>
      </c>
      <c r="E172" s="14" t="s">
        <v>1993</v>
      </c>
      <c r="F172" s="14">
        <v>430</v>
      </c>
      <c r="G172" s="15">
        <v>364.98</v>
      </c>
      <c r="H172" s="16">
        <v>45982</v>
      </c>
      <c r="I172" s="16">
        <v>46394</v>
      </c>
      <c r="J172" s="16">
        <v>46667</v>
      </c>
      <c r="K172" s="14" t="s">
        <v>2030</v>
      </c>
      <c r="L172" s="16">
        <f>IF(D172="Packaging","",IF(ISNUMBER(J172),J172,IF(ISNUMBER(I172),EDATE(I172,VLOOKUP(D172,Assumptions!$A$10:$B$16,2,0)),"")))</f>
        <v>46667</v>
      </c>
      <c r="M172" s="14">
        <f>IF(ISNUMBER(L172),L172-Assumptions!$B$5,"")</f>
        <v>645</v>
      </c>
      <c r="N172" s="17">
        <f t="shared" si="12"/>
        <v>0</v>
      </c>
      <c r="O172" s="14">
        <f>IF(COUNTIF(Assumptions!$A$25:$A$27,A172)&gt;0,1,0)</f>
        <v>0</v>
      </c>
      <c r="P172" s="14">
        <f>IF(COUNTIF(Assumptions!$B$25:$B$26,A172)&gt;0,1,0)</f>
        <v>0</v>
      </c>
      <c r="Q172" s="14">
        <f>IF(COUNTIF(Assumptions!$C$25:$C$25,A172)&gt;0,1,0)</f>
        <v>0</v>
      </c>
      <c r="R172" s="17">
        <f t="shared" si="13"/>
        <v>0</v>
      </c>
      <c r="S172" s="15" t="str">
        <f>IFERROR(VLOOKUP(A172,Assumptions!$A$31:$B$33,2,0),"")</f>
        <v/>
      </c>
      <c r="T172" s="15">
        <f t="shared" si="14"/>
        <v>364.98</v>
      </c>
      <c r="U172" s="15">
        <f t="shared" si="15"/>
        <v>156941.4</v>
      </c>
      <c r="V172" s="15">
        <f t="shared" si="16"/>
        <v>156941.4</v>
      </c>
      <c r="W172" s="15">
        <f t="shared" si="17"/>
        <v>0</v>
      </c>
    </row>
    <row r="173" spans="1:23" ht="15" customHeight="1" x14ac:dyDescent="0.2">
      <c r="A173" s="14" t="s">
        <v>2290</v>
      </c>
      <c r="B173" s="14" t="s">
        <v>2291</v>
      </c>
      <c r="C173" s="14" t="s">
        <v>2094</v>
      </c>
      <c r="D173" s="14" t="s">
        <v>47</v>
      </c>
      <c r="E173" s="14" t="s">
        <v>2014</v>
      </c>
      <c r="F173" s="14">
        <v>3563</v>
      </c>
      <c r="G173" s="15">
        <v>74.17</v>
      </c>
      <c r="H173" s="16">
        <v>45835</v>
      </c>
      <c r="I173" s="16">
        <v>45818</v>
      </c>
      <c r="J173" s="16"/>
      <c r="K173" s="14" t="s">
        <v>1989</v>
      </c>
      <c r="L173" s="16" t="str">
        <f>IF(D173="Packaging","",IF(ISNUMBER(J173),J173,IF(ISNUMBER(I173),EDATE(I173,VLOOKUP(D173,Assumptions!$A$10:$B$16,2,0)),"")))</f>
        <v/>
      </c>
      <c r="M173" s="14" t="str">
        <f>IF(ISNUMBER(L173),L173-Assumptions!$B$5,"")</f>
        <v/>
      </c>
      <c r="N173" s="17">
        <f t="shared" si="12"/>
        <v>0</v>
      </c>
      <c r="O173" s="14">
        <f>IF(COUNTIF(Assumptions!$A$25:$A$27,A173)&gt;0,1,0)</f>
        <v>0</v>
      </c>
      <c r="P173" s="14">
        <f>IF(COUNTIF(Assumptions!$B$25:$B$26,A173)&gt;0,1,0)</f>
        <v>0</v>
      </c>
      <c r="Q173" s="14">
        <f>IF(COUNTIF(Assumptions!$C$25:$C$25,A173)&gt;0,1,0)</f>
        <v>0</v>
      </c>
      <c r="R173" s="17">
        <f t="shared" si="13"/>
        <v>0</v>
      </c>
      <c r="S173" s="15" t="str">
        <f>IFERROR(VLOOKUP(A173,Assumptions!$A$31:$B$33,2,0),"")</f>
        <v/>
      </c>
      <c r="T173" s="15">
        <f t="shared" si="14"/>
        <v>74.17</v>
      </c>
      <c r="U173" s="15">
        <f t="shared" si="15"/>
        <v>264267.71000000002</v>
      </c>
      <c r="V173" s="15">
        <f t="shared" si="16"/>
        <v>264267.71000000002</v>
      </c>
      <c r="W173" s="15">
        <f t="shared" si="17"/>
        <v>0</v>
      </c>
    </row>
    <row r="174" spans="1:23" ht="15" customHeight="1" x14ac:dyDescent="0.2">
      <c r="A174" s="14" t="s">
        <v>2292</v>
      </c>
      <c r="B174" s="14" t="s">
        <v>2293</v>
      </c>
      <c r="C174" s="14" t="s">
        <v>2076</v>
      </c>
      <c r="D174" s="14" t="s">
        <v>45</v>
      </c>
      <c r="E174" s="14" t="s">
        <v>1993</v>
      </c>
      <c r="F174" s="14">
        <v>209</v>
      </c>
      <c r="G174" s="15">
        <v>381.7</v>
      </c>
      <c r="H174" s="16">
        <v>45964</v>
      </c>
      <c r="I174" s="16">
        <v>46665</v>
      </c>
      <c r="J174" s="16">
        <v>46848</v>
      </c>
      <c r="K174" s="14" t="s">
        <v>1994</v>
      </c>
      <c r="L174" s="16">
        <f>IF(D174="Packaging","",IF(ISNUMBER(J174),J174,IF(ISNUMBER(I174),EDATE(I174,VLOOKUP(D174,Assumptions!$A$10:$B$16,2,0)),"")))</f>
        <v>46848</v>
      </c>
      <c r="M174" s="14">
        <f>IF(ISNUMBER(L174),L174-Assumptions!$B$5,"")</f>
        <v>826</v>
      </c>
      <c r="N174" s="17">
        <f t="shared" si="12"/>
        <v>0</v>
      </c>
      <c r="O174" s="14">
        <f>IF(COUNTIF(Assumptions!$A$25:$A$27,A174)&gt;0,1,0)</f>
        <v>0</v>
      </c>
      <c r="P174" s="14">
        <f>IF(COUNTIF(Assumptions!$B$25:$B$26,A174)&gt;0,1,0)</f>
        <v>0</v>
      </c>
      <c r="Q174" s="14">
        <f>IF(COUNTIF(Assumptions!$C$25:$C$25,A174)&gt;0,1,0)</f>
        <v>0</v>
      </c>
      <c r="R174" s="17">
        <f t="shared" si="13"/>
        <v>0</v>
      </c>
      <c r="S174" s="15" t="str">
        <f>IFERROR(VLOOKUP(A174,Assumptions!$A$31:$B$33,2,0),"")</f>
        <v/>
      </c>
      <c r="T174" s="15">
        <f t="shared" si="14"/>
        <v>381.7</v>
      </c>
      <c r="U174" s="15">
        <f t="shared" si="15"/>
        <v>79775.3</v>
      </c>
      <c r="V174" s="15">
        <f t="shared" si="16"/>
        <v>79775.3</v>
      </c>
      <c r="W174" s="15">
        <f t="shared" si="17"/>
        <v>0</v>
      </c>
    </row>
    <row r="175" spans="1:23" ht="15" customHeight="1" x14ac:dyDescent="0.2">
      <c r="A175" s="14" t="s">
        <v>2294</v>
      </c>
      <c r="B175" s="14" t="s">
        <v>2295</v>
      </c>
      <c r="C175" s="14" t="s">
        <v>2159</v>
      </c>
      <c r="D175" s="14" t="s">
        <v>46</v>
      </c>
      <c r="E175" s="14" t="s">
        <v>1993</v>
      </c>
      <c r="F175" s="14">
        <v>973</v>
      </c>
      <c r="G175" s="15">
        <v>97.58</v>
      </c>
      <c r="H175" s="16">
        <v>45977</v>
      </c>
      <c r="I175" s="16">
        <v>46358</v>
      </c>
      <c r="J175" s="16">
        <v>46632</v>
      </c>
      <c r="K175" s="14" t="s">
        <v>1994</v>
      </c>
      <c r="L175" s="16">
        <f>IF(D175="Packaging","",IF(ISNUMBER(J175),J175,IF(ISNUMBER(I175),EDATE(I175,VLOOKUP(D175,Assumptions!$A$10:$B$16,2,0)),"")))</f>
        <v>46632</v>
      </c>
      <c r="M175" s="14">
        <f>IF(ISNUMBER(L175),L175-Assumptions!$B$5,"")</f>
        <v>610</v>
      </c>
      <c r="N175" s="17">
        <f t="shared" si="12"/>
        <v>0</v>
      </c>
      <c r="O175" s="14">
        <f>IF(COUNTIF(Assumptions!$A$25:$A$27,A175)&gt;0,1,0)</f>
        <v>0</v>
      </c>
      <c r="P175" s="14">
        <f>IF(COUNTIF(Assumptions!$B$25:$B$26,A175)&gt;0,1,0)</f>
        <v>0</v>
      </c>
      <c r="Q175" s="14">
        <f>IF(COUNTIF(Assumptions!$C$25:$C$25,A175)&gt;0,1,0)</f>
        <v>0</v>
      </c>
      <c r="R175" s="17">
        <f t="shared" si="13"/>
        <v>0</v>
      </c>
      <c r="S175" s="15" t="str">
        <f>IFERROR(VLOOKUP(A175,Assumptions!$A$31:$B$33,2,0),"")</f>
        <v/>
      </c>
      <c r="T175" s="15">
        <f t="shared" si="14"/>
        <v>97.58</v>
      </c>
      <c r="U175" s="15">
        <f t="shared" si="15"/>
        <v>94945.34</v>
      </c>
      <c r="V175" s="15">
        <f t="shared" si="16"/>
        <v>94945.34</v>
      </c>
      <c r="W175" s="15">
        <f t="shared" si="17"/>
        <v>0</v>
      </c>
    </row>
    <row r="176" spans="1:23" ht="15" customHeight="1" x14ac:dyDescent="0.2">
      <c r="A176" s="14" t="s">
        <v>555</v>
      </c>
      <c r="B176" s="14" t="s">
        <v>554</v>
      </c>
      <c r="C176" s="14" t="s">
        <v>2022</v>
      </c>
      <c r="D176" s="14" t="s">
        <v>39</v>
      </c>
      <c r="E176" s="14" t="s">
        <v>2014</v>
      </c>
      <c r="F176" s="14">
        <v>4916</v>
      </c>
      <c r="G176" s="15">
        <v>85.48</v>
      </c>
      <c r="H176" s="16">
        <v>45631</v>
      </c>
      <c r="I176" s="16">
        <v>45597</v>
      </c>
      <c r="J176" s="16"/>
      <c r="K176" s="14" t="s">
        <v>1994</v>
      </c>
      <c r="L176" s="16">
        <f>IF(D176="Packaging","",IF(ISNUMBER(J176),J176,IF(ISNUMBER(I176),EDATE(I176,VLOOKUP(D176,Assumptions!$A$10:$B$16,2,0)),"")))</f>
        <v>46692</v>
      </c>
      <c r="M176" s="14">
        <f>IF(ISNUMBER(L176),L176-Assumptions!$B$5,"")</f>
        <v>670</v>
      </c>
      <c r="N176" s="17">
        <f t="shared" si="12"/>
        <v>0</v>
      </c>
      <c r="O176" s="14">
        <f>IF(COUNTIF(Assumptions!$A$25:$A$27,A176)&gt;0,1,0)</f>
        <v>0</v>
      </c>
      <c r="P176" s="14">
        <f>IF(COUNTIF(Assumptions!$B$25:$B$26,A176)&gt;0,1,0)</f>
        <v>0</v>
      </c>
      <c r="Q176" s="14">
        <f>IF(COUNTIF(Assumptions!$C$25:$C$25,A176)&gt;0,1,0)</f>
        <v>0</v>
      </c>
      <c r="R176" s="17">
        <f t="shared" si="13"/>
        <v>0</v>
      </c>
      <c r="S176" s="15" t="str">
        <f>IFERROR(VLOOKUP(A176,Assumptions!$A$31:$B$33,2,0),"")</f>
        <v/>
      </c>
      <c r="T176" s="15">
        <f t="shared" si="14"/>
        <v>85.48</v>
      </c>
      <c r="U176" s="15">
        <f t="shared" si="15"/>
        <v>420219.68</v>
      </c>
      <c r="V176" s="15">
        <f t="shared" si="16"/>
        <v>420219.68</v>
      </c>
      <c r="W176" s="15">
        <f t="shared" si="17"/>
        <v>0</v>
      </c>
    </row>
    <row r="177" spans="1:23" ht="15" customHeight="1" x14ac:dyDescent="0.2">
      <c r="A177" s="14" t="s">
        <v>595</v>
      </c>
      <c r="B177" s="14" t="s">
        <v>594</v>
      </c>
      <c r="C177" s="14" t="s">
        <v>2043</v>
      </c>
      <c r="D177" s="14" t="s">
        <v>39</v>
      </c>
      <c r="E177" s="14" t="s">
        <v>2014</v>
      </c>
      <c r="F177" s="14">
        <v>4131</v>
      </c>
      <c r="G177" s="15">
        <v>301.76</v>
      </c>
      <c r="H177" s="16">
        <v>45614</v>
      </c>
      <c r="I177" s="16">
        <v>45544</v>
      </c>
      <c r="J177" s="16">
        <v>46639</v>
      </c>
      <c r="K177" s="14" t="s">
        <v>2030</v>
      </c>
      <c r="L177" s="16">
        <f>IF(D177="Packaging","",IF(ISNUMBER(J177),J177,IF(ISNUMBER(I177),EDATE(I177,VLOOKUP(D177,Assumptions!$A$10:$B$16,2,0)),"")))</f>
        <v>46639</v>
      </c>
      <c r="M177" s="14">
        <f>IF(ISNUMBER(L177),L177-Assumptions!$B$5,"")</f>
        <v>617</v>
      </c>
      <c r="N177" s="17">
        <f t="shared" si="12"/>
        <v>0</v>
      </c>
      <c r="O177" s="14">
        <f>IF(COUNTIF(Assumptions!$A$25:$A$27,A177)&gt;0,1,0)</f>
        <v>0</v>
      </c>
      <c r="P177" s="14">
        <f>IF(COUNTIF(Assumptions!$B$25:$B$26,A177)&gt;0,1,0)</f>
        <v>0</v>
      </c>
      <c r="Q177" s="14">
        <f>IF(COUNTIF(Assumptions!$C$25:$C$25,A177)&gt;0,1,0)</f>
        <v>0</v>
      </c>
      <c r="R177" s="17">
        <f t="shared" si="13"/>
        <v>0</v>
      </c>
      <c r="S177" s="15" t="str">
        <f>IFERROR(VLOOKUP(A177,Assumptions!$A$31:$B$33,2,0),"")</f>
        <v/>
      </c>
      <c r="T177" s="15">
        <f t="shared" si="14"/>
        <v>301.76</v>
      </c>
      <c r="U177" s="15">
        <f t="shared" si="15"/>
        <v>1246570.56</v>
      </c>
      <c r="V177" s="15">
        <f t="shared" si="16"/>
        <v>1246570.56</v>
      </c>
      <c r="W177" s="15">
        <f t="shared" si="17"/>
        <v>0</v>
      </c>
    </row>
    <row r="178" spans="1:23" ht="15" customHeight="1" x14ac:dyDescent="0.2">
      <c r="A178" s="14" t="s">
        <v>2296</v>
      </c>
      <c r="B178" s="14" t="s">
        <v>2297</v>
      </c>
      <c r="C178" s="14" t="s">
        <v>2010</v>
      </c>
      <c r="D178" s="14" t="s">
        <v>46</v>
      </c>
      <c r="E178" s="14" t="s">
        <v>1988</v>
      </c>
      <c r="F178" s="14">
        <v>4164</v>
      </c>
      <c r="G178" s="15">
        <v>326.86</v>
      </c>
      <c r="H178" s="16">
        <v>46008</v>
      </c>
      <c r="I178" s="16">
        <v>46011</v>
      </c>
      <c r="J178" s="16">
        <v>46285</v>
      </c>
      <c r="K178" s="14" t="s">
        <v>2052</v>
      </c>
      <c r="L178" s="16">
        <f>IF(D178="Packaging","",IF(ISNUMBER(J178),J178,IF(ISNUMBER(I178),EDATE(I178,VLOOKUP(D178,Assumptions!$A$10:$B$16,2,0)),"")))</f>
        <v>46285</v>
      </c>
      <c r="M178" s="14">
        <f>IF(ISNUMBER(L178),L178-Assumptions!$B$5,"")</f>
        <v>263</v>
      </c>
      <c r="N178" s="17">
        <f t="shared" si="12"/>
        <v>0</v>
      </c>
      <c r="O178" s="14">
        <f>IF(COUNTIF(Assumptions!$A$25:$A$27,A178)&gt;0,1,0)</f>
        <v>0</v>
      </c>
      <c r="P178" s="14">
        <f>IF(COUNTIF(Assumptions!$B$25:$B$26,A178)&gt;0,1,0)</f>
        <v>0</v>
      </c>
      <c r="Q178" s="14">
        <f>IF(COUNTIF(Assumptions!$C$25:$C$25,A178)&gt;0,1,0)</f>
        <v>0</v>
      </c>
      <c r="R178" s="17">
        <f t="shared" si="13"/>
        <v>0</v>
      </c>
      <c r="S178" s="15" t="str">
        <f>IFERROR(VLOOKUP(A178,Assumptions!$A$31:$B$33,2,0),"")</f>
        <v/>
      </c>
      <c r="T178" s="15">
        <f t="shared" si="14"/>
        <v>326.86</v>
      </c>
      <c r="U178" s="15">
        <f t="shared" si="15"/>
        <v>1361045.04</v>
      </c>
      <c r="V178" s="15">
        <f t="shared" si="16"/>
        <v>1361045.04</v>
      </c>
      <c r="W178" s="15">
        <f t="shared" si="17"/>
        <v>0</v>
      </c>
    </row>
    <row r="179" spans="1:23" ht="15" customHeight="1" x14ac:dyDescent="0.2">
      <c r="A179" s="14" t="s">
        <v>2298</v>
      </c>
      <c r="B179" s="14" t="s">
        <v>2299</v>
      </c>
      <c r="C179" s="14" t="s">
        <v>2007</v>
      </c>
      <c r="D179" s="14" t="s">
        <v>47</v>
      </c>
      <c r="E179" s="14" t="s">
        <v>1993</v>
      </c>
      <c r="F179" s="14">
        <v>4411</v>
      </c>
      <c r="G179" s="15">
        <v>62.44</v>
      </c>
      <c r="H179" s="16">
        <v>45859</v>
      </c>
      <c r="I179" s="16">
        <v>45790</v>
      </c>
      <c r="J179" s="16"/>
      <c r="K179" s="14" t="s">
        <v>2021</v>
      </c>
      <c r="L179" s="16" t="str">
        <f>IF(D179="Packaging","",IF(ISNUMBER(J179),J179,IF(ISNUMBER(I179),EDATE(I179,VLOOKUP(D179,Assumptions!$A$10:$B$16,2,0)),"")))</f>
        <v/>
      </c>
      <c r="M179" s="14" t="str">
        <f>IF(ISNUMBER(L179),L179-Assumptions!$B$5,"")</f>
        <v/>
      </c>
      <c r="N179" s="17">
        <f t="shared" si="12"/>
        <v>0</v>
      </c>
      <c r="O179" s="14">
        <f>IF(COUNTIF(Assumptions!$A$25:$A$27,A179)&gt;0,1,0)</f>
        <v>0</v>
      </c>
      <c r="P179" s="14">
        <f>IF(COUNTIF(Assumptions!$B$25:$B$26,A179)&gt;0,1,0)</f>
        <v>0</v>
      </c>
      <c r="Q179" s="14">
        <f>IF(COUNTIF(Assumptions!$C$25:$C$25,A179)&gt;0,1,0)</f>
        <v>0</v>
      </c>
      <c r="R179" s="17">
        <f t="shared" si="13"/>
        <v>0</v>
      </c>
      <c r="S179" s="15" t="str">
        <f>IFERROR(VLOOKUP(A179,Assumptions!$A$31:$B$33,2,0),"")</f>
        <v/>
      </c>
      <c r="T179" s="15">
        <f t="shared" si="14"/>
        <v>62.44</v>
      </c>
      <c r="U179" s="15">
        <f t="shared" si="15"/>
        <v>275422.83999999997</v>
      </c>
      <c r="V179" s="15">
        <f t="shared" si="16"/>
        <v>275422.83999999997</v>
      </c>
      <c r="W179" s="15">
        <f t="shared" si="17"/>
        <v>0</v>
      </c>
    </row>
    <row r="180" spans="1:23" ht="15" customHeight="1" x14ac:dyDescent="0.2">
      <c r="A180" s="14" t="s">
        <v>2300</v>
      </c>
      <c r="B180" s="14" t="s">
        <v>2301</v>
      </c>
      <c r="C180" s="14" t="s">
        <v>2089</v>
      </c>
      <c r="D180" s="14" t="s">
        <v>46</v>
      </c>
      <c r="E180" s="14" t="s">
        <v>2014</v>
      </c>
      <c r="F180" s="14">
        <v>1093</v>
      </c>
      <c r="G180" s="15">
        <v>386.3</v>
      </c>
      <c r="H180" s="16">
        <v>45975</v>
      </c>
      <c r="I180" s="16">
        <v>46350</v>
      </c>
      <c r="J180" s="16">
        <v>46623</v>
      </c>
      <c r="K180" s="14" t="s">
        <v>1989</v>
      </c>
      <c r="L180" s="16">
        <f>IF(D180="Packaging","",IF(ISNUMBER(J180),J180,IF(ISNUMBER(I180),EDATE(I180,VLOOKUP(D180,Assumptions!$A$10:$B$16,2,0)),"")))</f>
        <v>46623</v>
      </c>
      <c r="M180" s="14">
        <f>IF(ISNUMBER(L180),L180-Assumptions!$B$5,"")</f>
        <v>601</v>
      </c>
      <c r="N180" s="17">
        <f t="shared" si="12"/>
        <v>0</v>
      </c>
      <c r="O180" s="14">
        <f>IF(COUNTIF(Assumptions!$A$25:$A$27,A180)&gt;0,1,0)</f>
        <v>0</v>
      </c>
      <c r="P180" s="14">
        <f>IF(COUNTIF(Assumptions!$B$25:$B$26,A180)&gt;0,1,0)</f>
        <v>0</v>
      </c>
      <c r="Q180" s="14">
        <f>IF(COUNTIF(Assumptions!$C$25:$C$25,A180)&gt;0,1,0)</f>
        <v>0</v>
      </c>
      <c r="R180" s="17">
        <f t="shared" si="13"/>
        <v>0</v>
      </c>
      <c r="S180" s="15" t="str">
        <f>IFERROR(VLOOKUP(A180,Assumptions!$A$31:$B$33,2,0),"")</f>
        <v/>
      </c>
      <c r="T180" s="15">
        <f t="shared" si="14"/>
        <v>386.3</v>
      </c>
      <c r="U180" s="15">
        <f t="shared" si="15"/>
        <v>422225.9</v>
      </c>
      <c r="V180" s="15">
        <f t="shared" si="16"/>
        <v>422225.9</v>
      </c>
      <c r="W180" s="15">
        <f t="shared" si="17"/>
        <v>0</v>
      </c>
    </row>
    <row r="181" spans="1:23" ht="15" customHeight="1" x14ac:dyDescent="0.2">
      <c r="A181" s="14" t="s">
        <v>2302</v>
      </c>
      <c r="B181" s="14" t="s">
        <v>2303</v>
      </c>
      <c r="C181" s="14" t="s">
        <v>2137</v>
      </c>
      <c r="D181" s="14" t="s">
        <v>36</v>
      </c>
      <c r="E181" s="14" t="s">
        <v>2014</v>
      </c>
      <c r="F181" s="14">
        <v>1601</v>
      </c>
      <c r="G181" s="15">
        <v>386.95</v>
      </c>
      <c r="H181" s="16">
        <v>45996</v>
      </c>
      <c r="I181" s="16">
        <v>46112</v>
      </c>
      <c r="J181" s="16"/>
      <c r="K181" s="14" t="s">
        <v>1994</v>
      </c>
      <c r="L181" s="16">
        <f>IF(D181="Packaging","",IF(ISNUMBER(J181),J181,IF(ISNUMBER(I181),EDATE(I181,VLOOKUP(D181,Assumptions!$A$10:$B$16,2,0)),"")))</f>
        <v>46843</v>
      </c>
      <c r="M181" s="14">
        <f>IF(ISNUMBER(L181),L181-Assumptions!$B$5,"")</f>
        <v>821</v>
      </c>
      <c r="N181" s="17">
        <f t="shared" si="12"/>
        <v>0</v>
      </c>
      <c r="O181" s="14">
        <f>IF(COUNTIF(Assumptions!$A$25:$A$27,A181)&gt;0,1,0)</f>
        <v>0</v>
      </c>
      <c r="P181" s="14">
        <f>IF(COUNTIF(Assumptions!$B$25:$B$26,A181)&gt;0,1,0)</f>
        <v>0</v>
      </c>
      <c r="Q181" s="14">
        <f>IF(COUNTIF(Assumptions!$C$25:$C$25,A181)&gt;0,1,0)</f>
        <v>0</v>
      </c>
      <c r="R181" s="17">
        <f t="shared" si="13"/>
        <v>0</v>
      </c>
      <c r="S181" s="15" t="str">
        <f>IFERROR(VLOOKUP(A181,Assumptions!$A$31:$B$33,2,0),"")</f>
        <v/>
      </c>
      <c r="T181" s="15">
        <f t="shared" si="14"/>
        <v>386.95</v>
      </c>
      <c r="U181" s="15">
        <f t="shared" si="15"/>
        <v>619506.94999999995</v>
      </c>
      <c r="V181" s="15">
        <f t="shared" si="16"/>
        <v>619506.94999999995</v>
      </c>
      <c r="W181" s="15">
        <f t="shared" si="17"/>
        <v>0</v>
      </c>
    </row>
    <row r="182" spans="1:23" ht="15" customHeight="1" x14ac:dyDescent="0.2">
      <c r="A182" s="14" t="s">
        <v>2304</v>
      </c>
      <c r="B182" s="14" t="s">
        <v>2305</v>
      </c>
      <c r="C182" s="14" t="s">
        <v>2046</v>
      </c>
      <c r="D182" s="14" t="s">
        <v>42</v>
      </c>
      <c r="E182" s="14" t="s">
        <v>2037</v>
      </c>
      <c r="F182" s="14">
        <v>3008</v>
      </c>
      <c r="G182" s="15">
        <v>45.18</v>
      </c>
      <c r="H182" s="16">
        <v>45965</v>
      </c>
      <c r="I182" s="16">
        <v>46122</v>
      </c>
      <c r="J182" s="16"/>
      <c r="K182" s="14" t="s">
        <v>2004</v>
      </c>
      <c r="L182" s="16">
        <f>IF(D182="Packaging","",IF(ISNUMBER(J182),J182,IF(ISNUMBER(I182),EDATE(I182,VLOOKUP(D182,Assumptions!$A$10:$B$16,2,0)),"")))</f>
        <v>46487</v>
      </c>
      <c r="M182" s="14">
        <f>IF(ISNUMBER(L182),L182-Assumptions!$B$5,"")</f>
        <v>465</v>
      </c>
      <c r="N182" s="17">
        <f t="shared" si="12"/>
        <v>0</v>
      </c>
      <c r="O182" s="14">
        <f>IF(COUNTIF(Assumptions!$A$25:$A$27,A182)&gt;0,1,0)</f>
        <v>0</v>
      </c>
      <c r="P182" s="14">
        <f>IF(COUNTIF(Assumptions!$B$25:$B$26,A182)&gt;0,1,0)</f>
        <v>0</v>
      </c>
      <c r="Q182" s="14">
        <f>IF(COUNTIF(Assumptions!$C$25:$C$25,A182)&gt;0,1,0)</f>
        <v>0</v>
      </c>
      <c r="R182" s="17">
        <f t="shared" si="13"/>
        <v>0</v>
      </c>
      <c r="S182" s="15" t="str">
        <f>IFERROR(VLOOKUP(A182,Assumptions!$A$31:$B$33,2,0),"")</f>
        <v/>
      </c>
      <c r="T182" s="15">
        <f t="shared" si="14"/>
        <v>45.18</v>
      </c>
      <c r="U182" s="15">
        <f t="shared" si="15"/>
        <v>135901.44</v>
      </c>
      <c r="V182" s="15">
        <f t="shared" si="16"/>
        <v>135901.44</v>
      </c>
      <c r="W182" s="15">
        <f t="shared" si="17"/>
        <v>0</v>
      </c>
    </row>
    <row r="183" spans="1:23" ht="15" customHeight="1" x14ac:dyDescent="0.2">
      <c r="A183" s="14" t="s">
        <v>2306</v>
      </c>
      <c r="B183" s="14" t="s">
        <v>2307</v>
      </c>
      <c r="C183" s="14" t="s">
        <v>2107</v>
      </c>
      <c r="D183" s="14" t="s">
        <v>42</v>
      </c>
      <c r="E183" s="14" t="s">
        <v>1988</v>
      </c>
      <c r="F183" s="14">
        <v>1531</v>
      </c>
      <c r="G183" s="15">
        <v>267.83999999999997</v>
      </c>
      <c r="H183" s="16">
        <v>45980</v>
      </c>
      <c r="I183" s="16">
        <v>46175</v>
      </c>
      <c r="J183" s="16"/>
      <c r="K183" s="14" t="s">
        <v>2004</v>
      </c>
      <c r="L183" s="16">
        <f>IF(D183="Packaging","",IF(ISNUMBER(J183),J183,IF(ISNUMBER(I183),EDATE(I183,VLOOKUP(D183,Assumptions!$A$10:$B$16,2,0)),"")))</f>
        <v>46540</v>
      </c>
      <c r="M183" s="14">
        <f>IF(ISNUMBER(L183),L183-Assumptions!$B$5,"")</f>
        <v>518</v>
      </c>
      <c r="N183" s="17">
        <f t="shared" si="12"/>
        <v>0</v>
      </c>
      <c r="O183" s="14">
        <f>IF(COUNTIF(Assumptions!$A$25:$A$27,A183)&gt;0,1,0)</f>
        <v>0</v>
      </c>
      <c r="P183" s="14">
        <f>IF(COUNTIF(Assumptions!$B$25:$B$26,A183)&gt;0,1,0)</f>
        <v>0</v>
      </c>
      <c r="Q183" s="14">
        <f>IF(COUNTIF(Assumptions!$C$25:$C$25,A183)&gt;0,1,0)</f>
        <v>0</v>
      </c>
      <c r="R183" s="17">
        <f t="shared" si="13"/>
        <v>0</v>
      </c>
      <c r="S183" s="15" t="str">
        <f>IFERROR(VLOOKUP(A183,Assumptions!$A$31:$B$33,2,0),"")</f>
        <v/>
      </c>
      <c r="T183" s="15">
        <f t="shared" si="14"/>
        <v>267.83999999999997</v>
      </c>
      <c r="U183" s="15">
        <f t="shared" si="15"/>
        <v>410063.04</v>
      </c>
      <c r="V183" s="15">
        <f t="shared" si="16"/>
        <v>410063.04</v>
      </c>
      <c r="W183" s="15">
        <f t="shared" si="17"/>
        <v>0</v>
      </c>
    </row>
    <row r="184" spans="1:23" ht="15" customHeight="1" x14ac:dyDescent="0.2">
      <c r="A184" s="14" t="s">
        <v>119</v>
      </c>
      <c r="B184" s="14" t="s">
        <v>118</v>
      </c>
      <c r="C184" s="14" t="s">
        <v>2027</v>
      </c>
      <c r="D184" s="14" t="s">
        <v>44</v>
      </c>
      <c r="E184" s="14" t="s">
        <v>1993</v>
      </c>
      <c r="F184" s="14">
        <v>2721</v>
      </c>
      <c r="G184" s="15">
        <v>146.37</v>
      </c>
      <c r="H184" s="16">
        <v>45845</v>
      </c>
      <c r="I184" s="16">
        <v>45797</v>
      </c>
      <c r="J184" s="16">
        <v>46346</v>
      </c>
      <c r="K184" s="14" t="s">
        <v>2015</v>
      </c>
      <c r="L184" s="16">
        <f>IF(D184="Packaging","",IF(ISNUMBER(J184),J184,IF(ISNUMBER(I184),EDATE(I184,VLOOKUP(D184,Assumptions!$A$10:$B$16,2,0)),"")))</f>
        <v>46346</v>
      </c>
      <c r="M184" s="14">
        <f>IF(ISNUMBER(L184),L184-Assumptions!$B$5,"")</f>
        <v>324</v>
      </c>
      <c r="N184" s="17">
        <f t="shared" si="12"/>
        <v>0</v>
      </c>
      <c r="O184" s="14">
        <f>IF(COUNTIF(Assumptions!$A$25:$A$27,A184)&gt;0,1,0)</f>
        <v>0</v>
      </c>
      <c r="P184" s="14">
        <f>IF(COUNTIF(Assumptions!$B$25:$B$26,A184)&gt;0,1,0)</f>
        <v>0</v>
      </c>
      <c r="Q184" s="14">
        <f>IF(COUNTIF(Assumptions!$C$25:$C$25,A184)&gt;0,1,0)</f>
        <v>0</v>
      </c>
      <c r="R184" s="17">
        <f t="shared" si="13"/>
        <v>0</v>
      </c>
      <c r="S184" s="15" t="str">
        <f>IFERROR(VLOOKUP(A184,Assumptions!$A$31:$B$33,2,0),"")</f>
        <v/>
      </c>
      <c r="T184" s="15">
        <f t="shared" si="14"/>
        <v>146.37</v>
      </c>
      <c r="U184" s="15">
        <f t="shared" si="15"/>
        <v>398272.77</v>
      </c>
      <c r="V184" s="15">
        <f t="shared" si="16"/>
        <v>398272.77</v>
      </c>
      <c r="W184" s="15">
        <f t="shared" si="17"/>
        <v>0</v>
      </c>
    </row>
    <row r="185" spans="1:23" ht="15" customHeight="1" x14ac:dyDescent="0.2">
      <c r="A185" s="14" t="s">
        <v>2308</v>
      </c>
      <c r="B185" s="14" t="s">
        <v>2309</v>
      </c>
      <c r="C185" s="14" t="s">
        <v>2018</v>
      </c>
      <c r="D185" s="14" t="s">
        <v>36</v>
      </c>
      <c r="E185" s="14" t="s">
        <v>1988</v>
      </c>
      <c r="F185" s="14">
        <v>1192</v>
      </c>
      <c r="G185" s="15">
        <v>363.54</v>
      </c>
      <c r="H185" s="16">
        <v>45441</v>
      </c>
      <c r="I185" s="16">
        <v>45377</v>
      </c>
      <c r="J185" s="16"/>
      <c r="K185" s="14" t="s">
        <v>2052</v>
      </c>
      <c r="L185" s="16">
        <f>IF(D185="Packaging","",IF(ISNUMBER(J185),J185,IF(ISNUMBER(I185),EDATE(I185,VLOOKUP(D185,Assumptions!$A$10:$B$16,2,0)),"")))</f>
        <v>46107</v>
      </c>
      <c r="M185" s="14">
        <f>IF(ISNUMBER(L185),L185-Assumptions!$B$5,"")</f>
        <v>85</v>
      </c>
      <c r="N185" s="17">
        <f t="shared" si="12"/>
        <v>0.5</v>
      </c>
      <c r="O185" s="14">
        <f>IF(COUNTIF(Assumptions!$A$25:$A$27,A185)&gt;0,1,0)</f>
        <v>0</v>
      </c>
      <c r="P185" s="14">
        <f>IF(COUNTIF(Assumptions!$B$25:$B$26,A185)&gt;0,1,0)</f>
        <v>0</v>
      </c>
      <c r="Q185" s="14">
        <f>IF(COUNTIF(Assumptions!$C$25:$C$25,A185)&gt;0,1,0)</f>
        <v>0</v>
      </c>
      <c r="R185" s="17">
        <f t="shared" si="13"/>
        <v>0.5</v>
      </c>
      <c r="S185" s="15" t="str">
        <f>IFERROR(VLOOKUP(A185,Assumptions!$A$31:$B$33,2,0),"")</f>
        <v/>
      </c>
      <c r="T185" s="15">
        <f t="shared" si="14"/>
        <v>363.54</v>
      </c>
      <c r="U185" s="15">
        <f t="shared" si="15"/>
        <v>433339.68000000005</v>
      </c>
      <c r="V185" s="15">
        <f t="shared" si="16"/>
        <v>216669.84000000003</v>
      </c>
      <c r="W185" s="15">
        <f t="shared" si="17"/>
        <v>216669.84000000003</v>
      </c>
    </row>
    <row r="186" spans="1:23" ht="15" customHeight="1" x14ac:dyDescent="0.2">
      <c r="A186" s="14" t="s">
        <v>365</v>
      </c>
      <c r="B186" s="14" t="s">
        <v>364</v>
      </c>
      <c r="C186" s="14" t="s">
        <v>1435</v>
      </c>
      <c r="D186" s="14" t="s">
        <v>36</v>
      </c>
      <c r="E186" s="14" t="s">
        <v>1993</v>
      </c>
      <c r="F186" s="14">
        <v>2152</v>
      </c>
      <c r="G186" s="15">
        <v>181.44</v>
      </c>
      <c r="H186" s="16">
        <v>45657</v>
      </c>
      <c r="I186" s="16">
        <v>45610</v>
      </c>
      <c r="J186" s="16">
        <v>46340</v>
      </c>
      <c r="K186" s="14" t="s">
        <v>1989</v>
      </c>
      <c r="L186" s="16">
        <f>IF(D186="Packaging","",IF(ISNUMBER(J186),J186,IF(ISNUMBER(I186),EDATE(I186,VLOOKUP(D186,Assumptions!$A$10:$B$16,2,0)),"")))</f>
        <v>46340</v>
      </c>
      <c r="M186" s="14">
        <f>IF(ISNUMBER(L186),L186-Assumptions!$B$5,"")</f>
        <v>318</v>
      </c>
      <c r="N186" s="17">
        <f t="shared" si="12"/>
        <v>0</v>
      </c>
      <c r="O186" s="14">
        <f>IF(COUNTIF(Assumptions!$A$25:$A$27,A186)&gt;0,1,0)</f>
        <v>0</v>
      </c>
      <c r="P186" s="14">
        <f>IF(COUNTIF(Assumptions!$B$25:$B$26,A186)&gt;0,1,0)</f>
        <v>0</v>
      </c>
      <c r="Q186" s="14">
        <f>IF(COUNTIF(Assumptions!$C$25:$C$25,A186)&gt;0,1,0)</f>
        <v>0</v>
      </c>
      <c r="R186" s="17">
        <f t="shared" si="13"/>
        <v>0</v>
      </c>
      <c r="S186" s="15" t="str">
        <f>IFERROR(VLOOKUP(A186,Assumptions!$A$31:$B$33,2,0),"")</f>
        <v/>
      </c>
      <c r="T186" s="15">
        <f t="shared" si="14"/>
        <v>181.44</v>
      </c>
      <c r="U186" s="15">
        <f t="shared" si="15"/>
        <v>390458.88</v>
      </c>
      <c r="V186" s="15">
        <f t="shared" si="16"/>
        <v>390458.88</v>
      </c>
      <c r="W186" s="15">
        <f t="shared" si="17"/>
        <v>0</v>
      </c>
    </row>
    <row r="187" spans="1:23" ht="15" customHeight="1" x14ac:dyDescent="0.2">
      <c r="A187" s="14" t="s">
        <v>2310</v>
      </c>
      <c r="B187" s="14" t="s">
        <v>2311</v>
      </c>
      <c r="C187" s="14" t="s">
        <v>2159</v>
      </c>
      <c r="D187" s="14" t="s">
        <v>46</v>
      </c>
      <c r="E187" s="14" t="s">
        <v>2014</v>
      </c>
      <c r="F187" s="14">
        <v>3796</v>
      </c>
      <c r="G187" s="15">
        <v>188.68</v>
      </c>
      <c r="H187" s="16">
        <v>45966</v>
      </c>
      <c r="I187" s="16">
        <v>46446</v>
      </c>
      <c r="J187" s="16"/>
      <c r="K187" s="14" t="s">
        <v>1989</v>
      </c>
      <c r="L187" s="16">
        <f>IF(D187="Packaging","",IF(ISNUMBER(J187),J187,IF(ISNUMBER(I187),EDATE(I187,VLOOKUP(D187,Assumptions!$A$10:$B$16,2,0)),"")))</f>
        <v>46719</v>
      </c>
      <c r="M187" s="14">
        <f>IF(ISNUMBER(L187),L187-Assumptions!$B$5,"")</f>
        <v>697</v>
      </c>
      <c r="N187" s="17">
        <f t="shared" si="12"/>
        <v>0</v>
      </c>
      <c r="O187" s="14">
        <f>IF(COUNTIF(Assumptions!$A$25:$A$27,A187)&gt;0,1,0)</f>
        <v>0</v>
      </c>
      <c r="P187" s="14">
        <f>IF(COUNTIF(Assumptions!$B$25:$B$26,A187)&gt;0,1,0)</f>
        <v>0</v>
      </c>
      <c r="Q187" s="14">
        <f>IF(COUNTIF(Assumptions!$C$25:$C$25,A187)&gt;0,1,0)</f>
        <v>0</v>
      </c>
      <c r="R187" s="17">
        <f t="shared" si="13"/>
        <v>0</v>
      </c>
      <c r="S187" s="15" t="str">
        <f>IFERROR(VLOOKUP(A187,Assumptions!$A$31:$B$33,2,0),"")</f>
        <v/>
      </c>
      <c r="T187" s="15">
        <f t="shared" si="14"/>
        <v>188.68</v>
      </c>
      <c r="U187" s="15">
        <f t="shared" si="15"/>
        <v>716229.28</v>
      </c>
      <c r="V187" s="15">
        <f t="shared" si="16"/>
        <v>716229.28</v>
      </c>
      <c r="W187" s="15">
        <f t="shared" si="17"/>
        <v>0</v>
      </c>
    </row>
    <row r="188" spans="1:23" ht="15" customHeight="1" x14ac:dyDescent="0.2">
      <c r="A188" s="14" t="s">
        <v>2312</v>
      </c>
      <c r="B188" s="14" t="s">
        <v>2313</v>
      </c>
      <c r="C188" s="14" t="s">
        <v>2049</v>
      </c>
      <c r="D188" s="14" t="s">
        <v>42</v>
      </c>
      <c r="E188" s="14" t="s">
        <v>2037</v>
      </c>
      <c r="F188" s="14">
        <v>4413</v>
      </c>
      <c r="G188" s="15">
        <v>295.69</v>
      </c>
      <c r="H188" s="16">
        <v>45974</v>
      </c>
      <c r="I188" s="16">
        <v>46378</v>
      </c>
      <c r="J188" s="16"/>
      <c r="K188" s="14" t="s">
        <v>2052</v>
      </c>
      <c r="L188" s="16">
        <f>IF(D188="Packaging","",IF(ISNUMBER(J188),J188,IF(ISNUMBER(I188),EDATE(I188,VLOOKUP(D188,Assumptions!$A$10:$B$16,2,0)),"")))</f>
        <v>46743</v>
      </c>
      <c r="M188" s="14">
        <f>IF(ISNUMBER(L188),L188-Assumptions!$B$5,"")</f>
        <v>721</v>
      </c>
      <c r="N188" s="17">
        <f t="shared" si="12"/>
        <v>0</v>
      </c>
      <c r="O188" s="14">
        <f>IF(COUNTIF(Assumptions!$A$25:$A$27,A188)&gt;0,1,0)</f>
        <v>0</v>
      </c>
      <c r="P188" s="14">
        <f>IF(COUNTIF(Assumptions!$B$25:$B$26,A188)&gt;0,1,0)</f>
        <v>0</v>
      </c>
      <c r="Q188" s="14">
        <f>IF(COUNTIF(Assumptions!$C$25:$C$25,A188)&gt;0,1,0)</f>
        <v>0</v>
      </c>
      <c r="R188" s="17">
        <f t="shared" si="13"/>
        <v>0</v>
      </c>
      <c r="S188" s="15" t="str">
        <f>IFERROR(VLOOKUP(A188,Assumptions!$A$31:$B$33,2,0),"")</f>
        <v/>
      </c>
      <c r="T188" s="15">
        <f t="shared" si="14"/>
        <v>295.69</v>
      </c>
      <c r="U188" s="15">
        <f t="shared" si="15"/>
        <v>1304879.97</v>
      </c>
      <c r="V188" s="15">
        <f t="shared" si="16"/>
        <v>1304879.97</v>
      </c>
      <c r="W188" s="15">
        <f t="shared" si="17"/>
        <v>0</v>
      </c>
    </row>
    <row r="189" spans="1:23" ht="15" customHeight="1" x14ac:dyDescent="0.2">
      <c r="A189" s="14" t="s">
        <v>598</v>
      </c>
      <c r="B189" s="14" t="s">
        <v>597</v>
      </c>
      <c r="C189" s="14" t="s">
        <v>2108</v>
      </c>
      <c r="D189" s="14" t="s">
        <v>39</v>
      </c>
      <c r="E189" s="14" t="s">
        <v>2037</v>
      </c>
      <c r="F189" s="14">
        <v>4392</v>
      </c>
      <c r="G189" s="15">
        <v>373.8</v>
      </c>
      <c r="H189" s="16">
        <v>45600</v>
      </c>
      <c r="I189" s="16">
        <v>45545</v>
      </c>
      <c r="J189" s="16">
        <v>46640</v>
      </c>
      <c r="K189" s="14" t="s">
        <v>2030</v>
      </c>
      <c r="L189" s="16">
        <f>IF(D189="Packaging","",IF(ISNUMBER(J189),J189,IF(ISNUMBER(I189),EDATE(I189,VLOOKUP(D189,Assumptions!$A$10:$B$16,2,0)),"")))</f>
        <v>46640</v>
      </c>
      <c r="M189" s="14">
        <f>IF(ISNUMBER(L189),L189-Assumptions!$B$5,"")</f>
        <v>618</v>
      </c>
      <c r="N189" s="17">
        <f t="shared" si="12"/>
        <v>0</v>
      </c>
      <c r="O189" s="14">
        <f>IF(COUNTIF(Assumptions!$A$25:$A$27,A189)&gt;0,1,0)</f>
        <v>0</v>
      </c>
      <c r="P189" s="14">
        <f>IF(COUNTIF(Assumptions!$B$25:$B$26,A189)&gt;0,1,0)</f>
        <v>0</v>
      </c>
      <c r="Q189" s="14">
        <f>IF(COUNTIF(Assumptions!$C$25:$C$25,A189)&gt;0,1,0)</f>
        <v>0</v>
      </c>
      <c r="R189" s="17">
        <f t="shared" si="13"/>
        <v>0</v>
      </c>
      <c r="S189" s="15" t="str">
        <f>IFERROR(VLOOKUP(A189,Assumptions!$A$31:$B$33,2,0),"")</f>
        <v/>
      </c>
      <c r="T189" s="15">
        <f t="shared" si="14"/>
        <v>373.8</v>
      </c>
      <c r="U189" s="15">
        <f t="shared" si="15"/>
        <v>1641729.6</v>
      </c>
      <c r="V189" s="15">
        <f t="shared" si="16"/>
        <v>1641729.6</v>
      </c>
      <c r="W189" s="15">
        <f t="shared" si="17"/>
        <v>0</v>
      </c>
    </row>
    <row r="190" spans="1:23" ht="15" customHeight="1" x14ac:dyDescent="0.2">
      <c r="A190" s="14" t="s">
        <v>2314</v>
      </c>
      <c r="B190" s="14" t="s">
        <v>2315</v>
      </c>
      <c r="C190" s="14" t="s">
        <v>2000</v>
      </c>
      <c r="D190" s="14" t="s">
        <v>45</v>
      </c>
      <c r="E190" s="14" t="s">
        <v>2037</v>
      </c>
      <c r="F190" s="14">
        <v>586</v>
      </c>
      <c r="G190" s="15">
        <v>133.1</v>
      </c>
      <c r="H190" s="16">
        <v>45984</v>
      </c>
      <c r="I190" s="16">
        <v>46554</v>
      </c>
      <c r="J190" s="16"/>
      <c r="K190" s="14" t="s">
        <v>2015</v>
      </c>
      <c r="L190" s="16">
        <f>IF(D190="Packaging","",IF(ISNUMBER(J190),J190,IF(ISNUMBER(I190),EDATE(I190,VLOOKUP(D190,Assumptions!$A$10:$B$16,2,0)),"")))</f>
        <v>46737</v>
      </c>
      <c r="M190" s="14">
        <f>IF(ISNUMBER(L190),L190-Assumptions!$B$5,"")</f>
        <v>715</v>
      </c>
      <c r="N190" s="17">
        <f t="shared" si="12"/>
        <v>0</v>
      </c>
      <c r="O190" s="14">
        <f>IF(COUNTIF(Assumptions!$A$25:$A$27,A190)&gt;0,1,0)</f>
        <v>0</v>
      </c>
      <c r="P190" s="14">
        <f>IF(COUNTIF(Assumptions!$B$25:$B$26,A190)&gt;0,1,0)</f>
        <v>0</v>
      </c>
      <c r="Q190" s="14">
        <f>IF(COUNTIF(Assumptions!$C$25:$C$25,A190)&gt;0,1,0)</f>
        <v>0</v>
      </c>
      <c r="R190" s="17">
        <f t="shared" si="13"/>
        <v>0</v>
      </c>
      <c r="S190" s="15" t="str">
        <f>IFERROR(VLOOKUP(A190,Assumptions!$A$31:$B$33,2,0),"")</f>
        <v/>
      </c>
      <c r="T190" s="15">
        <f t="shared" si="14"/>
        <v>133.1</v>
      </c>
      <c r="U190" s="15">
        <f t="shared" si="15"/>
        <v>77996.599999999991</v>
      </c>
      <c r="V190" s="15">
        <f t="shared" si="16"/>
        <v>77996.599999999991</v>
      </c>
      <c r="W190" s="15">
        <f t="shared" si="17"/>
        <v>0</v>
      </c>
    </row>
    <row r="191" spans="1:23" ht="15" customHeight="1" x14ac:dyDescent="0.2">
      <c r="A191" s="14" t="s">
        <v>2316</v>
      </c>
      <c r="B191" s="14" t="s">
        <v>2317</v>
      </c>
      <c r="C191" s="14" t="s">
        <v>2036</v>
      </c>
      <c r="D191" s="14" t="s">
        <v>45</v>
      </c>
      <c r="E191" s="14" t="s">
        <v>1993</v>
      </c>
      <c r="F191" s="14">
        <v>3312</v>
      </c>
      <c r="G191" s="15">
        <v>318.89999999999998</v>
      </c>
      <c r="H191" s="16">
        <v>46015</v>
      </c>
      <c r="I191" s="16">
        <v>46665</v>
      </c>
      <c r="J191" s="16">
        <v>46848</v>
      </c>
      <c r="K191" s="14" t="s">
        <v>2015</v>
      </c>
      <c r="L191" s="16">
        <f>IF(D191="Packaging","",IF(ISNUMBER(J191),J191,IF(ISNUMBER(I191),EDATE(I191,VLOOKUP(D191,Assumptions!$A$10:$B$16,2,0)),"")))</f>
        <v>46848</v>
      </c>
      <c r="M191" s="14">
        <f>IF(ISNUMBER(L191),L191-Assumptions!$B$5,"")</f>
        <v>826</v>
      </c>
      <c r="N191" s="17">
        <f t="shared" si="12"/>
        <v>0</v>
      </c>
      <c r="O191" s="14">
        <f>IF(COUNTIF(Assumptions!$A$25:$A$27,A191)&gt;0,1,0)</f>
        <v>0</v>
      </c>
      <c r="P191" s="14">
        <f>IF(COUNTIF(Assumptions!$B$25:$B$26,A191)&gt;0,1,0)</f>
        <v>0</v>
      </c>
      <c r="Q191" s="14">
        <f>IF(COUNTIF(Assumptions!$C$25:$C$25,A191)&gt;0,1,0)</f>
        <v>0</v>
      </c>
      <c r="R191" s="17">
        <f t="shared" si="13"/>
        <v>0</v>
      </c>
      <c r="S191" s="15" t="str">
        <f>IFERROR(VLOOKUP(A191,Assumptions!$A$31:$B$33,2,0),"")</f>
        <v/>
      </c>
      <c r="T191" s="15">
        <f t="shared" si="14"/>
        <v>318.89999999999998</v>
      </c>
      <c r="U191" s="15">
        <f t="shared" si="15"/>
        <v>1056196.7999999998</v>
      </c>
      <c r="V191" s="15">
        <f t="shared" si="16"/>
        <v>1056196.7999999998</v>
      </c>
      <c r="W191" s="15">
        <f t="shared" si="17"/>
        <v>0</v>
      </c>
    </row>
    <row r="192" spans="1:23" ht="15" customHeight="1" x14ac:dyDescent="0.2">
      <c r="A192" s="14" t="s">
        <v>604</v>
      </c>
      <c r="B192" s="14" t="s">
        <v>603</v>
      </c>
      <c r="C192" s="14" t="s">
        <v>2192</v>
      </c>
      <c r="D192" s="14" t="s">
        <v>39</v>
      </c>
      <c r="E192" s="14" t="s">
        <v>1993</v>
      </c>
      <c r="F192" s="14">
        <v>2209</v>
      </c>
      <c r="G192" s="15">
        <v>221.44</v>
      </c>
      <c r="H192" s="16">
        <v>45542</v>
      </c>
      <c r="I192" s="16">
        <v>45535</v>
      </c>
      <c r="J192" s="16"/>
      <c r="K192" s="14" t="s">
        <v>2052</v>
      </c>
      <c r="L192" s="16">
        <f>IF(D192="Packaging","",IF(ISNUMBER(J192),J192,IF(ISNUMBER(I192),EDATE(I192,VLOOKUP(D192,Assumptions!$A$10:$B$16,2,0)),"")))</f>
        <v>46630</v>
      </c>
      <c r="M192" s="14">
        <f>IF(ISNUMBER(L192),L192-Assumptions!$B$5,"")</f>
        <v>608</v>
      </c>
      <c r="N192" s="17">
        <f t="shared" si="12"/>
        <v>0</v>
      </c>
      <c r="O192" s="14">
        <f>IF(COUNTIF(Assumptions!$A$25:$A$27,A192)&gt;0,1,0)</f>
        <v>0</v>
      </c>
      <c r="P192" s="14">
        <f>IF(COUNTIF(Assumptions!$B$25:$B$26,A192)&gt;0,1,0)</f>
        <v>0</v>
      </c>
      <c r="Q192" s="14">
        <f>IF(COUNTIF(Assumptions!$C$25:$C$25,A192)&gt;0,1,0)</f>
        <v>0</v>
      </c>
      <c r="R192" s="17">
        <f t="shared" si="13"/>
        <v>0</v>
      </c>
      <c r="S192" s="15" t="str">
        <f>IFERROR(VLOOKUP(A192,Assumptions!$A$31:$B$33,2,0),"")</f>
        <v/>
      </c>
      <c r="T192" s="15">
        <f t="shared" si="14"/>
        <v>221.44</v>
      </c>
      <c r="U192" s="15">
        <f t="shared" si="15"/>
        <v>489160.96000000002</v>
      </c>
      <c r="V192" s="15">
        <f t="shared" si="16"/>
        <v>489160.96000000002</v>
      </c>
      <c r="W192" s="15">
        <f t="shared" si="17"/>
        <v>0</v>
      </c>
    </row>
    <row r="193" spans="1:23" ht="15" customHeight="1" x14ac:dyDescent="0.2">
      <c r="A193" s="14" t="s">
        <v>684</v>
      </c>
      <c r="B193" s="14" t="s">
        <v>683</v>
      </c>
      <c r="C193" s="14" t="s">
        <v>2119</v>
      </c>
      <c r="D193" s="14" t="s">
        <v>39</v>
      </c>
      <c r="E193" s="14" t="s">
        <v>1993</v>
      </c>
      <c r="F193" s="14">
        <v>2683</v>
      </c>
      <c r="G193" s="15">
        <v>390.67</v>
      </c>
      <c r="H193" s="16">
        <v>45261</v>
      </c>
      <c r="I193" s="16">
        <v>45248</v>
      </c>
      <c r="J193" s="16"/>
      <c r="K193" s="14" t="s">
        <v>2052</v>
      </c>
      <c r="L193" s="16">
        <f>IF(D193="Packaging","",IF(ISNUMBER(J193),J193,IF(ISNUMBER(I193),EDATE(I193,VLOOKUP(D193,Assumptions!$A$10:$B$16,2,0)),"")))</f>
        <v>46344</v>
      </c>
      <c r="M193" s="14">
        <f>IF(ISNUMBER(L193),L193-Assumptions!$B$5,"")</f>
        <v>322</v>
      </c>
      <c r="N193" s="17">
        <f t="shared" si="12"/>
        <v>0</v>
      </c>
      <c r="O193" s="14">
        <f>IF(COUNTIF(Assumptions!$A$25:$A$27,A193)&gt;0,1,0)</f>
        <v>0</v>
      </c>
      <c r="P193" s="14">
        <f>IF(COUNTIF(Assumptions!$B$25:$B$26,A193)&gt;0,1,0)</f>
        <v>0</v>
      </c>
      <c r="Q193" s="14">
        <f>IF(COUNTIF(Assumptions!$C$25:$C$25,A193)&gt;0,1,0)</f>
        <v>0</v>
      </c>
      <c r="R193" s="17">
        <f t="shared" si="13"/>
        <v>0</v>
      </c>
      <c r="S193" s="15" t="str">
        <f>IFERROR(VLOOKUP(A193,Assumptions!$A$31:$B$33,2,0),"")</f>
        <v/>
      </c>
      <c r="T193" s="15">
        <f t="shared" si="14"/>
        <v>390.67</v>
      </c>
      <c r="U193" s="15">
        <f t="shared" si="15"/>
        <v>1048167.61</v>
      </c>
      <c r="V193" s="15">
        <f t="shared" si="16"/>
        <v>1048167.61</v>
      </c>
      <c r="W193" s="15">
        <f t="shared" si="17"/>
        <v>0</v>
      </c>
    </row>
    <row r="194" spans="1:23" ht="15" customHeight="1" x14ac:dyDescent="0.2">
      <c r="A194" s="14" t="s">
        <v>2318</v>
      </c>
      <c r="B194" s="14" t="s">
        <v>2319</v>
      </c>
      <c r="C194" s="14" t="s">
        <v>2069</v>
      </c>
      <c r="D194" s="14" t="s">
        <v>47</v>
      </c>
      <c r="E194" s="14" t="s">
        <v>2014</v>
      </c>
      <c r="F194" s="14">
        <v>1475</v>
      </c>
      <c r="G194" s="15">
        <v>360.14</v>
      </c>
      <c r="H194" s="16">
        <v>45593</v>
      </c>
      <c r="I194" s="16">
        <v>45522</v>
      </c>
      <c r="J194" s="16"/>
      <c r="K194" s="14" t="s">
        <v>2030</v>
      </c>
      <c r="L194" s="16" t="str">
        <f>IF(D194="Packaging","",IF(ISNUMBER(J194),J194,IF(ISNUMBER(I194),EDATE(I194,VLOOKUP(D194,Assumptions!$A$10:$B$16,2,0)),"")))</f>
        <v/>
      </c>
      <c r="M194" s="14" t="str">
        <f>IF(ISNUMBER(L194),L194-Assumptions!$B$5,"")</f>
        <v/>
      </c>
      <c r="N194" s="17">
        <f t="shared" ref="N194:N257" si="18">IF(D194="Packaging",0,IF(NOT(ISNUMBER(L194)),0,IF(M194&lt;0,1,IF(M194&lt;=90,0.5,IF(M194&lt;=180,0.25,0)))))</f>
        <v>0</v>
      </c>
      <c r="O194" s="14">
        <f>IF(COUNTIF(Assumptions!$A$25:$A$27,A194)&gt;0,1,0)</f>
        <v>0</v>
      </c>
      <c r="P194" s="14">
        <f>IF(COUNTIF(Assumptions!$B$25:$B$26,A194)&gt;0,1,0)</f>
        <v>0</v>
      </c>
      <c r="Q194" s="14">
        <f>IF(COUNTIF(Assumptions!$C$25:$C$25,A194)&gt;0,1,0)</f>
        <v>0</v>
      </c>
      <c r="R194" s="17">
        <f t="shared" ref="R194:R257" si="19">IF(OR(O194=1,Q194=1),1,IF(P194=1,0.5,N194))</f>
        <v>0</v>
      </c>
      <c r="S194" s="15" t="str">
        <f>IFERROR(VLOOKUP(A194,Assumptions!$A$31:$B$33,2,0),"")</f>
        <v/>
      </c>
      <c r="T194" s="15">
        <f t="shared" ref="T194:T257" si="20">IF(S194="",G194,MIN(G194,S194))</f>
        <v>360.14</v>
      </c>
      <c r="U194" s="15">
        <f t="shared" ref="U194:U257" si="21">F194*G194</f>
        <v>531206.5</v>
      </c>
      <c r="V194" s="15">
        <f t="shared" ref="V194:V257" si="22">F194*T194*(1-R194)</f>
        <v>531206.5</v>
      </c>
      <c r="W194" s="15">
        <f t="shared" ref="W194:W257" si="23">U194-V194</f>
        <v>0</v>
      </c>
    </row>
    <row r="195" spans="1:23" ht="15" customHeight="1" x14ac:dyDescent="0.2">
      <c r="A195" s="14" t="s">
        <v>2320</v>
      </c>
      <c r="B195" s="14" t="s">
        <v>2321</v>
      </c>
      <c r="C195" s="14" t="s">
        <v>2042</v>
      </c>
      <c r="D195" s="14" t="s">
        <v>47</v>
      </c>
      <c r="E195" s="14" t="s">
        <v>1988</v>
      </c>
      <c r="F195" s="14">
        <v>1275</v>
      </c>
      <c r="G195" s="15">
        <v>165.28</v>
      </c>
      <c r="H195" s="16">
        <v>45632</v>
      </c>
      <c r="I195" s="16">
        <v>45606</v>
      </c>
      <c r="J195" s="16"/>
      <c r="K195" s="14" t="s">
        <v>1989</v>
      </c>
      <c r="L195" s="16" t="str">
        <f>IF(D195="Packaging","",IF(ISNUMBER(J195),J195,IF(ISNUMBER(I195),EDATE(I195,VLOOKUP(D195,Assumptions!$A$10:$B$16,2,0)),"")))</f>
        <v/>
      </c>
      <c r="M195" s="14" t="str">
        <f>IF(ISNUMBER(L195),L195-Assumptions!$B$5,"")</f>
        <v/>
      </c>
      <c r="N195" s="17">
        <f t="shared" si="18"/>
        <v>0</v>
      </c>
      <c r="O195" s="14">
        <f>IF(COUNTIF(Assumptions!$A$25:$A$27,A195)&gt;0,1,0)</f>
        <v>0</v>
      </c>
      <c r="P195" s="14">
        <f>IF(COUNTIF(Assumptions!$B$25:$B$26,A195)&gt;0,1,0)</f>
        <v>0</v>
      </c>
      <c r="Q195" s="14">
        <f>IF(COUNTIF(Assumptions!$C$25:$C$25,A195)&gt;0,1,0)</f>
        <v>0</v>
      </c>
      <c r="R195" s="17">
        <f t="shared" si="19"/>
        <v>0</v>
      </c>
      <c r="S195" s="15" t="str">
        <f>IFERROR(VLOOKUP(A195,Assumptions!$A$31:$B$33,2,0),"")</f>
        <v/>
      </c>
      <c r="T195" s="15">
        <f t="shared" si="20"/>
        <v>165.28</v>
      </c>
      <c r="U195" s="15">
        <f t="shared" si="21"/>
        <v>210732</v>
      </c>
      <c r="V195" s="15">
        <f t="shared" si="22"/>
        <v>210732</v>
      </c>
      <c r="W195" s="15">
        <f t="shared" si="23"/>
        <v>0</v>
      </c>
    </row>
    <row r="196" spans="1:23" ht="15" customHeight="1" x14ac:dyDescent="0.2">
      <c r="A196" s="14" t="s">
        <v>2322</v>
      </c>
      <c r="B196" s="14" t="s">
        <v>2323</v>
      </c>
      <c r="C196" s="14" t="s">
        <v>2142</v>
      </c>
      <c r="D196" s="14" t="s">
        <v>44</v>
      </c>
      <c r="E196" s="14" t="s">
        <v>2037</v>
      </c>
      <c r="F196" s="14">
        <v>2347</v>
      </c>
      <c r="G196" s="15">
        <v>4.2699999999999996</v>
      </c>
      <c r="H196" s="16">
        <v>45565</v>
      </c>
      <c r="I196" s="16">
        <v>45511</v>
      </c>
      <c r="J196" s="16">
        <v>46060</v>
      </c>
      <c r="K196" s="14" t="s">
        <v>2030</v>
      </c>
      <c r="L196" s="16">
        <f>IF(D196="Packaging","",IF(ISNUMBER(J196),J196,IF(ISNUMBER(I196),EDATE(I196,VLOOKUP(D196,Assumptions!$A$10:$B$16,2,0)),"")))</f>
        <v>46060</v>
      </c>
      <c r="M196" s="14">
        <f>IF(ISNUMBER(L196),L196-Assumptions!$B$5,"")</f>
        <v>38</v>
      </c>
      <c r="N196" s="17">
        <f t="shared" si="18"/>
        <v>0.5</v>
      </c>
      <c r="O196" s="14">
        <f>IF(COUNTIF(Assumptions!$A$25:$A$27,A196)&gt;0,1,0)</f>
        <v>0</v>
      </c>
      <c r="P196" s="14">
        <f>IF(COUNTIF(Assumptions!$B$25:$B$26,A196)&gt;0,1,0)</f>
        <v>0</v>
      </c>
      <c r="Q196" s="14">
        <f>IF(COUNTIF(Assumptions!$C$25:$C$25,A196)&gt;0,1,0)</f>
        <v>0</v>
      </c>
      <c r="R196" s="17">
        <f t="shared" si="19"/>
        <v>0.5</v>
      </c>
      <c r="S196" s="15" t="str">
        <f>IFERROR(VLOOKUP(A196,Assumptions!$A$31:$B$33,2,0),"")</f>
        <v/>
      </c>
      <c r="T196" s="15">
        <f t="shared" si="20"/>
        <v>4.2699999999999996</v>
      </c>
      <c r="U196" s="15">
        <f t="shared" si="21"/>
        <v>10021.689999999999</v>
      </c>
      <c r="V196" s="15">
        <f t="shared" si="22"/>
        <v>5010.8449999999993</v>
      </c>
      <c r="W196" s="15">
        <f t="shared" si="23"/>
        <v>5010.8449999999993</v>
      </c>
    </row>
    <row r="197" spans="1:23" ht="15" customHeight="1" x14ac:dyDescent="0.2">
      <c r="A197" s="14" t="s">
        <v>2324</v>
      </c>
      <c r="B197" s="14" t="s">
        <v>2325</v>
      </c>
      <c r="C197" s="14" t="s">
        <v>2159</v>
      </c>
      <c r="D197" s="14" t="s">
        <v>46</v>
      </c>
      <c r="E197" s="14" t="s">
        <v>2014</v>
      </c>
      <c r="F197" s="14">
        <v>566</v>
      </c>
      <c r="G197" s="15">
        <v>385.42</v>
      </c>
      <c r="H197" s="16">
        <v>46011</v>
      </c>
      <c r="I197" s="16">
        <v>46473</v>
      </c>
      <c r="J197" s="16">
        <v>46748</v>
      </c>
      <c r="K197" s="14" t="s">
        <v>2004</v>
      </c>
      <c r="L197" s="16">
        <f>IF(D197="Packaging","",IF(ISNUMBER(J197),J197,IF(ISNUMBER(I197),EDATE(I197,VLOOKUP(D197,Assumptions!$A$10:$B$16,2,0)),"")))</f>
        <v>46748</v>
      </c>
      <c r="M197" s="14">
        <f>IF(ISNUMBER(L197),L197-Assumptions!$B$5,"")</f>
        <v>726</v>
      </c>
      <c r="N197" s="17">
        <f t="shared" si="18"/>
        <v>0</v>
      </c>
      <c r="O197" s="14">
        <f>IF(COUNTIF(Assumptions!$A$25:$A$27,A197)&gt;0,1,0)</f>
        <v>0</v>
      </c>
      <c r="P197" s="14">
        <f>IF(COUNTIF(Assumptions!$B$25:$B$26,A197)&gt;0,1,0)</f>
        <v>0</v>
      </c>
      <c r="Q197" s="14">
        <f>IF(COUNTIF(Assumptions!$C$25:$C$25,A197)&gt;0,1,0)</f>
        <v>0</v>
      </c>
      <c r="R197" s="17">
        <f t="shared" si="19"/>
        <v>0</v>
      </c>
      <c r="S197" s="15" t="str">
        <f>IFERROR(VLOOKUP(A197,Assumptions!$A$31:$B$33,2,0),"")</f>
        <v/>
      </c>
      <c r="T197" s="15">
        <f t="shared" si="20"/>
        <v>385.42</v>
      </c>
      <c r="U197" s="15">
        <f t="shared" si="21"/>
        <v>218147.72</v>
      </c>
      <c r="V197" s="15">
        <f t="shared" si="22"/>
        <v>218147.72</v>
      </c>
      <c r="W197" s="15">
        <f t="shared" si="23"/>
        <v>0</v>
      </c>
    </row>
    <row r="198" spans="1:23" ht="15" customHeight="1" x14ac:dyDescent="0.2">
      <c r="A198" s="14" t="s">
        <v>383</v>
      </c>
      <c r="B198" s="14" t="s">
        <v>382</v>
      </c>
      <c r="C198" s="14" t="s">
        <v>2104</v>
      </c>
      <c r="D198" s="14" t="s">
        <v>36</v>
      </c>
      <c r="E198" s="14" t="s">
        <v>1988</v>
      </c>
      <c r="F198" s="14">
        <v>1541</v>
      </c>
      <c r="G198" s="15">
        <v>0.51</v>
      </c>
      <c r="H198" s="16">
        <v>45835</v>
      </c>
      <c r="I198" s="16">
        <v>45793</v>
      </c>
      <c r="J198" s="16">
        <v>46523</v>
      </c>
      <c r="K198" s="14" t="s">
        <v>1989</v>
      </c>
      <c r="L198" s="16">
        <f>IF(D198="Packaging","",IF(ISNUMBER(J198),J198,IF(ISNUMBER(I198),EDATE(I198,VLOOKUP(D198,Assumptions!$A$10:$B$16,2,0)),"")))</f>
        <v>46523</v>
      </c>
      <c r="M198" s="14">
        <f>IF(ISNUMBER(L198),L198-Assumptions!$B$5,"")</f>
        <v>501</v>
      </c>
      <c r="N198" s="17">
        <f t="shared" si="18"/>
        <v>0</v>
      </c>
      <c r="O198" s="14">
        <f>IF(COUNTIF(Assumptions!$A$25:$A$27,A198)&gt;0,1,0)</f>
        <v>0</v>
      </c>
      <c r="P198" s="14">
        <f>IF(COUNTIF(Assumptions!$B$25:$B$26,A198)&gt;0,1,0)</f>
        <v>0</v>
      </c>
      <c r="Q198" s="14">
        <f>IF(COUNTIF(Assumptions!$C$25:$C$25,A198)&gt;0,1,0)</f>
        <v>0</v>
      </c>
      <c r="R198" s="17">
        <f t="shared" si="19"/>
        <v>0</v>
      </c>
      <c r="S198" s="15" t="str">
        <f>IFERROR(VLOOKUP(A198,Assumptions!$A$31:$B$33,2,0),"")</f>
        <v/>
      </c>
      <c r="T198" s="15">
        <f t="shared" si="20"/>
        <v>0.51</v>
      </c>
      <c r="U198" s="15">
        <f t="shared" si="21"/>
        <v>785.91</v>
      </c>
      <c r="V198" s="15">
        <f t="shared" si="22"/>
        <v>785.91</v>
      </c>
      <c r="W198" s="15">
        <f t="shared" si="23"/>
        <v>0</v>
      </c>
    </row>
    <row r="199" spans="1:23" ht="15" customHeight="1" x14ac:dyDescent="0.2">
      <c r="A199" s="14" t="s">
        <v>2326</v>
      </c>
      <c r="B199" s="14" t="s">
        <v>2327</v>
      </c>
      <c r="C199" s="14" t="s">
        <v>2042</v>
      </c>
      <c r="D199" s="14" t="s">
        <v>47</v>
      </c>
      <c r="E199" s="14" t="s">
        <v>1993</v>
      </c>
      <c r="F199" s="14">
        <v>4567</v>
      </c>
      <c r="G199" s="15">
        <v>266.29000000000002</v>
      </c>
      <c r="H199" s="16">
        <v>45694</v>
      </c>
      <c r="I199" s="16">
        <v>45648</v>
      </c>
      <c r="J199" s="16"/>
      <c r="K199" s="14" t="s">
        <v>2030</v>
      </c>
      <c r="L199" s="16" t="str">
        <f>IF(D199="Packaging","",IF(ISNUMBER(J199),J199,IF(ISNUMBER(I199),EDATE(I199,VLOOKUP(D199,Assumptions!$A$10:$B$16,2,0)),"")))</f>
        <v/>
      </c>
      <c r="M199" s="14" t="str">
        <f>IF(ISNUMBER(L199),L199-Assumptions!$B$5,"")</f>
        <v/>
      </c>
      <c r="N199" s="17">
        <f t="shared" si="18"/>
        <v>0</v>
      </c>
      <c r="O199" s="14">
        <f>IF(COUNTIF(Assumptions!$A$25:$A$27,A199)&gt;0,1,0)</f>
        <v>0</v>
      </c>
      <c r="P199" s="14">
        <f>IF(COUNTIF(Assumptions!$B$25:$B$26,A199)&gt;0,1,0)</f>
        <v>0</v>
      </c>
      <c r="Q199" s="14">
        <f>IF(COUNTIF(Assumptions!$C$25:$C$25,A199)&gt;0,1,0)</f>
        <v>0</v>
      </c>
      <c r="R199" s="17">
        <f t="shared" si="19"/>
        <v>0</v>
      </c>
      <c r="S199" s="15" t="str">
        <f>IFERROR(VLOOKUP(A199,Assumptions!$A$31:$B$33,2,0),"")</f>
        <v/>
      </c>
      <c r="T199" s="15">
        <f t="shared" si="20"/>
        <v>266.29000000000002</v>
      </c>
      <c r="U199" s="15">
        <f t="shared" si="21"/>
        <v>1216146.4300000002</v>
      </c>
      <c r="V199" s="15">
        <f t="shared" si="22"/>
        <v>1216146.4300000002</v>
      </c>
      <c r="W199" s="15">
        <f t="shared" si="23"/>
        <v>0</v>
      </c>
    </row>
    <row r="200" spans="1:23" ht="15" customHeight="1" x14ac:dyDescent="0.2">
      <c r="A200" s="14" t="s">
        <v>2328</v>
      </c>
      <c r="B200" s="14" t="s">
        <v>2329</v>
      </c>
      <c r="C200" s="14" t="s">
        <v>1992</v>
      </c>
      <c r="D200" s="14" t="s">
        <v>45</v>
      </c>
      <c r="E200" s="14" t="s">
        <v>1993</v>
      </c>
      <c r="F200" s="14">
        <v>2204</v>
      </c>
      <c r="G200" s="15">
        <v>239.67</v>
      </c>
      <c r="H200" s="16">
        <v>45974</v>
      </c>
      <c r="I200" s="16">
        <v>46671</v>
      </c>
      <c r="J200" s="16"/>
      <c r="K200" s="14" t="s">
        <v>2021</v>
      </c>
      <c r="L200" s="16">
        <f>IF(D200="Packaging","",IF(ISNUMBER(J200),J200,IF(ISNUMBER(I200),EDATE(I200,VLOOKUP(D200,Assumptions!$A$10:$B$16,2,0)),"")))</f>
        <v>46854</v>
      </c>
      <c r="M200" s="14">
        <f>IF(ISNUMBER(L200),L200-Assumptions!$B$5,"")</f>
        <v>832</v>
      </c>
      <c r="N200" s="17">
        <f t="shared" si="18"/>
        <v>0</v>
      </c>
      <c r="O200" s="14">
        <f>IF(COUNTIF(Assumptions!$A$25:$A$27,A200)&gt;0,1,0)</f>
        <v>0</v>
      </c>
      <c r="P200" s="14">
        <f>IF(COUNTIF(Assumptions!$B$25:$B$26,A200)&gt;0,1,0)</f>
        <v>0</v>
      </c>
      <c r="Q200" s="14">
        <f>IF(COUNTIF(Assumptions!$C$25:$C$25,A200)&gt;0,1,0)</f>
        <v>0</v>
      </c>
      <c r="R200" s="17">
        <f t="shared" si="19"/>
        <v>0</v>
      </c>
      <c r="S200" s="15" t="str">
        <f>IFERROR(VLOOKUP(A200,Assumptions!$A$31:$B$33,2,0),"")</f>
        <v/>
      </c>
      <c r="T200" s="15">
        <f t="shared" si="20"/>
        <v>239.67</v>
      </c>
      <c r="U200" s="15">
        <f t="shared" si="21"/>
        <v>528232.67999999993</v>
      </c>
      <c r="V200" s="15">
        <f t="shared" si="22"/>
        <v>528232.67999999993</v>
      </c>
      <c r="W200" s="15">
        <f t="shared" si="23"/>
        <v>0</v>
      </c>
    </row>
    <row r="201" spans="1:23" ht="15" customHeight="1" x14ac:dyDescent="0.2">
      <c r="A201" s="14" t="s">
        <v>2330</v>
      </c>
      <c r="B201" s="14" t="s">
        <v>2331</v>
      </c>
      <c r="C201" s="14" t="s">
        <v>2137</v>
      </c>
      <c r="D201" s="14" t="s">
        <v>36</v>
      </c>
      <c r="E201" s="14" t="s">
        <v>1988</v>
      </c>
      <c r="F201" s="14">
        <v>2613</v>
      </c>
      <c r="G201" s="15">
        <v>267.91000000000003</v>
      </c>
      <c r="H201" s="16">
        <v>45983</v>
      </c>
      <c r="I201" s="16">
        <v>46128</v>
      </c>
      <c r="J201" s="16">
        <v>46859</v>
      </c>
      <c r="K201" s="14" t="s">
        <v>1989</v>
      </c>
      <c r="L201" s="16">
        <f>IF(D201="Packaging","",IF(ISNUMBER(J201),J201,IF(ISNUMBER(I201),EDATE(I201,VLOOKUP(D201,Assumptions!$A$10:$B$16,2,0)),"")))</f>
        <v>46859</v>
      </c>
      <c r="M201" s="14">
        <f>IF(ISNUMBER(L201),L201-Assumptions!$B$5,"")</f>
        <v>837</v>
      </c>
      <c r="N201" s="17">
        <f t="shared" si="18"/>
        <v>0</v>
      </c>
      <c r="O201" s="14">
        <f>IF(COUNTIF(Assumptions!$A$25:$A$27,A201)&gt;0,1,0)</f>
        <v>0</v>
      </c>
      <c r="P201" s="14">
        <f>IF(COUNTIF(Assumptions!$B$25:$B$26,A201)&gt;0,1,0)</f>
        <v>0</v>
      </c>
      <c r="Q201" s="14">
        <f>IF(COUNTIF(Assumptions!$C$25:$C$25,A201)&gt;0,1,0)</f>
        <v>0</v>
      </c>
      <c r="R201" s="17">
        <f t="shared" si="19"/>
        <v>0</v>
      </c>
      <c r="S201" s="15" t="str">
        <f>IFERROR(VLOOKUP(A201,Assumptions!$A$31:$B$33,2,0),"")</f>
        <v/>
      </c>
      <c r="T201" s="15">
        <f t="shared" si="20"/>
        <v>267.91000000000003</v>
      </c>
      <c r="U201" s="15">
        <f t="shared" si="21"/>
        <v>700048.83000000007</v>
      </c>
      <c r="V201" s="15">
        <f t="shared" si="22"/>
        <v>700048.83000000007</v>
      </c>
      <c r="W201" s="15">
        <f t="shared" si="23"/>
        <v>0</v>
      </c>
    </row>
    <row r="202" spans="1:23" ht="15" customHeight="1" x14ac:dyDescent="0.2">
      <c r="A202" s="14" t="s">
        <v>2332</v>
      </c>
      <c r="B202" s="14" t="s">
        <v>2333</v>
      </c>
      <c r="C202" s="14" t="s">
        <v>2066</v>
      </c>
      <c r="D202" s="14" t="s">
        <v>42</v>
      </c>
      <c r="E202" s="14" t="s">
        <v>1993</v>
      </c>
      <c r="F202" s="14">
        <v>4422</v>
      </c>
      <c r="G202" s="15">
        <v>159.04</v>
      </c>
      <c r="H202" s="16">
        <v>45977</v>
      </c>
      <c r="I202" s="16">
        <v>46435</v>
      </c>
      <c r="J202" s="16">
        <v>46800</v>
      </c>
      <c r="K202" s="14" t="s">
        <v>1989</v>
      </c>
      <c r="L202" s="16">
        <f>IF(D202="Packaging","",IF(ISNUMBER(J202),J202,IF(ISNUMBER(I202),EDATE(I202,VLOOKUP(D202,Assumptions!$A$10:$B$16,2,0)),"")))</f>
        <v>46800</v>
      </c>
      <c r="M202" s="14">
        <f>IF(ISNUMBER(L202),L202-Assumptions!$B$5,"")</f>
        <v>778</v>
      </c>
      <c r="N202" s="17">
        <f t="shared" si="18"/>
        <v>0</v>
      </c>
      <c r="O202" s="14">
        <f>IF(COUNTIF(Assumptions!$A$25:$A$27,A202)&gt;0,1,0)</f>
        <v>0</v>
      </c>
      <c r="P202" s="14">
        <f>IF(COUNTIF(Assumptions!$B$25:$B$26,A202)&gt;0,1,0)</f>
        <v>0</v>
      </c>
      <c r="Q202" s="14">
        <f>IF(COUNTIF(Assumptions!$C$25:$C$25,A202)&gt;0,1,0)</f>
        <v>0</v>
      </c>
      <c r="R202" s="17">
        <f t="shared" si="19"/>
        <v>0</v>
      </c>
      <c r="S202" s="15" t="str">
        <f>IFERROR(VLOOKUP(A202,Assumptions!$A$31:$B$33,2,0),"")</f>
        <v/>
      </c>
      <c r="T202" s="15">
        <f t="shared" si="20"/>
        <v>159.04</v>
      </c>
      <c r="U202" s="15">
        <f t="shared" si="21"/>
        <v>703274.88</v>
      </c>
      <c r="V202" s="15">
        <f t="shared" si="22"/>
        <v>703274.88</v>
      </c>
      <c r="W202" s="15">
        <f t="shared" si="23"/>
        <v>0</v>
      </c>
    </row>
    <row r="203" spans="1:23" ht="15" customHeight="1" x14ac:dyDescent="0.2">
      <c r="A203" s="14" t="s">
        <v>123</v>
      </c>
      <c r="B203" s="14" t="s">
        <v>122</v>
      </c>
      <c r="C203" s="14" t="s">
        <v>2142</v>
      </c>
      <c r="D203" s="14" t="s">
        <v>44</v>
      </c>
      <c r="E203" s="14" t="s">
        <v>2014</v>
      </c>
      <c r="F203" s="14">
        <v>3115</v>
      </c>
      <c r="G203" s="15">
        <v>151.37</v>
      </c>
      <c r="H203" s="16">
        <v>45770</v>
      </c>
      <c r="I203" s="16">
        <v>45690</v>
      </c>
      <c r="J203" s="16">
        <v>46236</v>
      </c>
      <c r="K203" s="14" t="s">
        <v>1989</v>
      </c>
      <c r="L203" s="16">
        <f>IF(D203="Packaging","",IF(ISNUMBER(J203),J203,IF(ISNUMBER(I203),EDATE(I203,VLOOKUP(D203,Assumptions!$A$10:$B$16,2,0)),"")))</f>
        <v>46236</v>
      </c>
      <c r="M203" s="14">
        <f>IF(ISNUMBER(L203),L203-Assumptions!$B$5,"")</f>
        <v>214</v>
      </c>
      <c r="N203" s="17">
        <f t="shared" si="18"/>
        <v>0</v>
      </c>
      <c r="O203" s="14">
        <f>IF(COUNTIF(Assumptions!$A$25:$A$27,A203)&gt;0,1,0)</f>
        <v>0</v>
      </c>
      <c r="P203" s="14">
        <f>IF(COUNTIF(Assumptions!$B$25:$B$26,A203)&gt;0,1,0)</f>
        <v>0</v>
      </c>
      <c r="Q203" s="14">
        <f>IF(COUNTIF(Assumptions!$C$25:$C$25,A203)&gt;0,1,0)</f>
        <v>0</v>
      </c>
      <c r="R203" s="17">
        <f t="shared" si="19"/>
        <v>0</v>
      </c>
      <c r="S203" s="15" t="str">
        <f>IFERROR(VLOOKUP(A203,Assumptions!$A$31:$B$33,2,0),"")</f>
        <v/>
      </c>
      <c r="T203" s="15">
        <f t="shared" si="20"/>
        <v>151.37</v>
      </c>
      <c r="U203" s="15">
        <f t="shared" si="21"/>
        <v>471517.55</v>
      </c>
      <c r="V203" s="15">
        <f t="shared" si="22"/>
        <v>471517.55</v>
      </c>
      <c r="W203" s="15">
        <f t="shared" si="23"/>
        <v>0</v>
      </c>
    </row>
    <row r="204" spans="1:23" ht="15" customHeight="1" x14ac:dyDescent="0.2">
      <c r="A204" s="14" t="s">
        <v>2334</v>
      </c>
      <c r="B204" s="14" t="s">
        <v>2335</v>
      </c>
      <c r="C204" s="14" t="s">
        <v>2013</v>
      </c>
      <c r="D204" s="14" t="s">
        <v>44</v>
      </c>
      <c r="E204" s="14" t="s">
        <v>2014</v>
      </c>
      <c r="F204" s="14">
        <v>1537</v>
      </c>
      <c r="G204" s="15">
        <v>80.569999999999993</v>
      </c>
      <c r="H204" s="16">
        <v>45987</v>
      </c>
      <c r="I204" s="16">
        <v>46169</v>
      </c>
      <c r="J204" s="16">
        <v>46718</v>
      </c>
      <c r="K204" s="14" t="s">
        <v>1994</v>
      </c>
      <c r="L204" s="16">
        <f>IF(D204="Packaging","",IF(ISNUMBER(J204),J204,IF(ISNUMBER(I204),EDATE(I204,VLOOKUP(D204,Assumptions!$A$10:$B$16,2,0)),"")))</f>
        <v>46718</v>
      </c>
      <c r="M204" s="14">
        <f>IF(ISNUMBER(L204),L204-Assumptions!$B$5,"")</f>
        <v>696</v>
      </c>
      <c r="N204" s="17">
        <f t="shared" si="18"/>
        <v>0</v>
      </c>
      <c r="O204" s="14">
        <f>IF(COUNTIF(Assumptions!$A$25:$A$27,A204)&gt;0,1,0)</f>
        <v>0</v>
      </c>
      <c r="P204" s="14">
        <f>IF(COUNTIF(Assumptions!$B$25:$B$26,A204)&gt;0,1,0)</f>
        <v>0</v>
      </c>
      <c r="Q204" s="14">
        <f>IF(COUNTIF(Assumptions!$C$25:$C$25,A204)&gt;0,1,0)</f>
        <v>0</v>
      </c>
      <c r="R204" s="17">
        <f t="shared" si="19"/>
        <v>0</v>
      </c>
      <c r="S204" s="15" t="str">
        <f>IFERROR(VLOOKUP(A204,Assumptions!$A$31:$B$33,2,0),"")</f>
        <v/>
      </c>
      <c r="T204" s="15">
        <f t="shared" si="20"/>
        <v>80.569999999999993</v>
      </c>
      <c r="U204" s="15">
        <f t="shared" si="21"/>
        <v>123836.09</v>
      </c>
      <c r="V204" s="15">
        <f t="shared" si="22"/>
        <v>123836.09</v>
      </c>
      <c r="W204" s="15">
        <f t="shared" si="23"/>
        <v>0</v>
      </c>
    </row>
    <row r="205" spans="1:23" ht="15" customHeight="1" x14ac:dyDescent="0.2">
      <c r="A205" s="14" t="s">
        <v>692</v>
      </c>
      <c r="B205" s="14" t="s">
        <v>691</v>
      </c>
      <c r="C205" s="14" t="s">
        <v>2022</v>
      </c>
      <c r="D205" s="14" t="s">
        <v>39</v>
      </c>
      <c r="E205" s="14" t="s">
        <v>2014</v>
      </c>
      <c r="F205" s="14">
        <v>3110</v>
      </c>
      <c r="G205" s="15">
        <v>392.72</v>
      </c>
      <c r="H205" s="16">
        <v>45695</v>
      </c>
      <c r="I205" s="16">
        <v>45622</v>
      </c>
      <c r="J205" s="16">
        <v>46717</v>
      </c>
      <c r="K205" s="14" t="s">
        <v>2030</v>
      </c>
      <c r="L205" s="16">
        <f>IF(D205="Packaging","",IF(ISNUMBER(J205),J205,IF(ISNUMBER(I205),EDATE(I205,VLOOKUP(D205,Assumptions!$A$10:$B$16,2,0)),"")))</f>
        <v>46717</v>
      </c>
      <c r="M205" s="14">
        <f>IF(ISNUMBER(L205),L205-Assumptions!$B$5,"")</f>
        <v>695</v>
      </c>
      <c r="N205" s="17">
        <f t="shared" si="18"/>
        <v>0</v>
      </c>
      <c r="O205" s="14">
        <f>IF(COUNTIF(Assumptions!$A$25:$A$27,A205)&gt;0,1,0)</f>
        <v>0</v>
      </c>
      <c r="P205" s="14">
        <f>IF(COUNTIF(Assumptions!$B$25:$B$26,A205)&gt;0,1,0)</f>
        <v>0</v>
      </c>
      <c r="Q205" s="14">
        <f>IF(COUNTIF(Assumptions!$C$25:$C$25,A205)&gt;0,1,0)</f>
        <v>0</v>
      </c>
      <c r="R205" s="17">
        <f t="shared" si="19"/>
        <v>0</v>
      </c>
      <c r="S205" s="15" t="str">
        <f>IFERROR(VLOOKUP(A205,Assumptions!$A$31:$B$33,2,0),"")</f>
        <v/>
      </c>
      <c r="T205" s="15">
        <f t="shared" si="20"/>
        <v>392.72</v>
      </c>
      <c r="U205" s="15">
        <f t="shared" si="21"/>
        <v>1221359.2000000002</v>
      </c>
      <c r="V205" s="15">
        <f t="shared" si="22"/>
        <v>1221359.2000000002</v>
      </c>
      <c r="W205" s="15">
        <f t="shared" si="23"/>
        <v>0</v>
      </c>
    </row>
    <row r="206" spans="1:23" ht="15" customHeight="1" x14ac:dyDescent="0.2">
      <c r="A206" s="14" t="s">
        <v>2336</v>
      </c>
      <c r="B206" s="14" t="s">
        <v>2337</v>
      </c>
      <c r="C206" s="14" t="s">
        <v>1987</v>
      </c>
      <c r="D206" s="14" t="s">
        <v>36</v>
      </c>
      <c r="E206" s="14" t="s">
        <v>1988</v>
      </c>
      <c r="F206" s="14">
        <v>1187</v>
      </c>
      <c r="G206" s="15">
        <v>289.83999999999997</v>
      </c>
      <c r="H206" s="16">
        <v>45296</v>
      </c>
      <c r="I206" s="16">
        <v>45278</v>
      </c>
      <c r="J206" s="16"/>
      <c r="K206" s="14" t="s">
        <v>2030</v>
      </c>
      <c r="L206" s="16">
        <f>IF(D206="Packaging","",IF(ISNUMBER(J206),J206,IF(ISNUMBER(I206),EDATE(I206,VLOOKUP(D206,Assumptions!$A$10:$B$16,2,0)),"")))</f>
        <v>46009</v>
      </c>
      <c r="M206" s="14">
        <f>IF(ISNUMBER(L206),L206-Assumptions!$B$5,"")</f>
        <v>-13</v>
      </c>
      <c r="N206" s="17">
        <f t="shared" si="18"/>
        <v>1</v>
      </c>
      <c r="O206" s="14">
        <f>IF(COUNTIF(Assumptions!$A$25:$A$27,A206)&gt;0,1,0)</f>
        <v>0</v>
      </c>
      <c r="P206" s="14">
        <f>IF(COUNTIF(Assumptions!$B$25:$B$26,A206)&gt;0,1,0)</f>
        <v>0</v>
      </c>
      <c r="Q206" s="14">
        <f>IF(COUNTIF(Assumptions!$C$25:$C$25,A206)&gt;0,1,0)</f>
        <v>0</v>
      </c>
      <c r="R206" s="17">
        <f t="shared" si="19"/>
        <v>1</v>
      </c>
      <c r="S206" s="15" t="str">
        <f>IFERROR(VLOOKUP(A206,Assumptions!$A$31:$B$33,2,0),"")</f>
        <v/>
      </c>
      <c r="T206" s="15">
        <f t="shared" si="20"/>
        <v>289.83999999999997</v>
      </c>
      <c r="U206" s="15">
        <f t="shared" si="21"/>
        <v>344040.07999999996</v>
      </c>
      <c r="V206" s="15">
        <f t="shared" si="22"/>
        <v>0</v>
      </c>
      <c r="W206" s="15">
        <f t="shared" si="23"/>
        <v>344040.07999999996</v>
      </c>
    </row>
    <row r="207" spans="1:23" ht="15" customHeight="1" x14ac:dyDescent="0.2">
      <c r="A207" s="14" t="s">
        <v>2338</v>
      </c>
      <c r="B207" s="14" t="s">
        <v>2339</v>
      </c>
      <c r="C207" s="14" t="s">
        <v>2159</v>
      </c>
      <c r="D207" s="14" t="s">
        <v>46</v>
      </c>
      <c r="E207" s="14" t="s">
        <v>2014</v>
      </c>
      <c r="F207" s="14">
        <v>3731</v>
      </c>
      <c r="G207" s="15">
        <v>84.52</v>
      </c>
      <c r="H207" s="16">
        <v>46002</v>
      </c>
      <c r="I207" s="16">
        <v>46250</v>
      </c>
      <c r="J207" s="16"/>
      <c r="K207" s="14" t="s">
        <v>2021</v>
      </c>
      <c r="L207" s="16">
        <f>IF(D207="Packaging","",IF(ISNUMBER(J207),J207,IF(ISNUMBER(I207),EDATE(I207,VLOOKUP(D207,Assumptions!$A$10:$B$16,2,0)),"")))</f>
        <v>46523</v>
      </c>
      <c r="M207" s="14">
        <f>IF(ISNUMBER(L207),L207-Assumptions!$B$5,"")</f>
        <v>501</v>
      </c>
      <c r="N207" s="17">
        <f t="shared" si="18"/>
        <v>0</v>
      </c>
      <c r="O207" s="14">
        <f>IF(COUNTIF(Assumptions!$A$25:$A$27,A207)&gt;0,1,0)</f>
        <v>0</v>
      </c>
      <c r="P207" s="14">
        <f>IF(COUNTIF(Assumptions!$B$25:$B$26,A207)&gt;0,1,0)</f>
        <v>0</v>
      </c>
      <c r="Q207" s="14">
        <f>IF(COUNTIF(Assumptions!$C$25:$C$25,A207)&gt;0,1,0)</f>
        <v>0</v>
      </c>
      <c r="R207" s="17">
        <f t="shared" si="19"/>
        <v>0</v>
      </c>
      <c r="S207" s="15" t="str">
        <f>IFERROR(VLOOKUP(A207,Assumptions!$A$31:$B$33,2,0),"")</f>
        <v/>
      </c>
      <c r="T207" s="15">
        <f t="shared" si="20"/>
        <v>84.52</v>
      </c>
      <c r="U207" s="15">
        <f t="shared" si="21"/>
        <v>315344.12</v>
      </c>
      <c r="V207" s="15">
        <f t="shared" si="22"/>
        <v>315344.12</v>
      </c>
      <c r="W207" s="15">
        <f t="shared" si="23"/>
        <v>0</v>
      </c>
    </row>
    <row r="208" spans="1:23" ht="15" customHeight="1" x14ac:dyDescent="0.2">
      <c r="A208" s="14" t="s">
        <v>2340</v>
      </c>
      <c r="B208" s="14" t="s">
        <v>2341</v>
      </c>
      <c r="C208" s="14" t="s">
        <v>2089</v>
      </c>
      <c r="D208" s="14" t="s">
        <v>46</v>
      </c>
      <c r="E208" s="14" t="s">
        <v>2014</v>
      </c>
      <c r="F208" s="14">
        <v>804</v>
      </c>
      <c r="G208" s="15">
        <v>302.05</v>
      </c>
      <c r="H208" s="16">
        <v>45855</v>
      </c>
      <c r="I208" s="16">
        <v>45824</v>
      </c>
      <c r="J208" s="16"/>
      <c r="K208" s="14" t="s">
        <v>2030</v>
      </c>
      <c r="L208" s="16">
        <f>IF(D208="Packaging","",IF(ISNUMBER(J208),J208,IF(ISNUMBER(I208),EDATE(I208,VLOOKUP(D208,Assumptions!$A$10:$B$16,2,0)),"")))</f>
        <v>46097</v>
      </c>
      <c r="M208" s="14">
        <f>IF(ISNUMBER(L208),L208-Assumptions!$B$5,"")</f>
        <v>75</v>
      </c>
      <c r="N208" s="17">
        <f t="shared" si="18"/>
        <v>0.5</v>
      </c>
      <c r="O208" s="14">
        <f>IF(COUNTIF(Assumptions!$A$25:$A$27,A208)&gt;0,1,0)</f>
        <v>0</v>
      </c>
      <c r="P208" s="14">
        <f>IF(COUNTIF(Assumptions!$B$25:$B$26,A208)&gt;0,1,0)</f>
        <v>0</v>
      </c>
      <c r="Q208" s="14">
        <f>IF(COUNTIF(Assumptions!$C$25:$C$25,A208)&gt;0,1,0)</f>
        <v>0</v>
      </c>
      <c r="R208" s="17">
        <f t="shared" si="19"/>
        <v>0.5</v>
      </c>
      <c r="S208" s="15" t="str">
        <f>IFERROR(VLOOKUP(A208,Assumptions!$A$31:$B$33,2,0),"")</f>
        <v/>
      </c>
      <c r="T208" s="15">
        <f t="shared" si="20"/>
        <v>302.05</v>
      </c>
      <c r="U208" s="15">
        <f t="shared" si="21"/>
        <v>242848.2</v>
      </c>
      <c r="V208" s="15">
        <f t="shared" si="22"/>
        <v>121424.1</v>
      </c>
      <c r="W208" s="15">
        <f t="shared" si="23"/>
        <v>121424.1</v>
      </c>
    </row>
    <row r="209" spans="1:23" ht="15" customHeight="1" x14ac:dyDescent="0.2">
      <c r="A209" s="14" t="s">
        <v>386</v>
      </c>
      <c r="B209" s="14" t="s">
        <v>385</v>
      </c>
      <c r="C209" s="14" t="s">
        <v>1987</v>
      </c>
      <c r="D209" s="14" t="s">
        <v>36</v>
      </c>
      <c r="E209" s="14" t="s">
        <v>1988</v>
      </c>
      <c r="F209" s="14">
        <v>957</v>
      </c>
      <c r="G209" s="15">
        <v>409.25</v>
      </c>
      <c r="H209" s="16">
        <v>45528</v>
      </c>
      <c r="I209" s="16">
        <v>45522</v>
      </c>
      <c r="J209" s="16">
        <v>46252</v>
      </c>
      <c r="K209" s="14" t="s">
        <v>2004</v>
      </c>
      <c r="L209" s="16">
        <f>IF(D209="Packaging","",IF(ISNUMBER(J209),J209,IF(ISNUMBER(I209),EDATE(I209,VLOOKUP(D209,Assumptions!$A$10:$B$16,2,0)),"")))</f>
        <v>46252</v>
      </c>
      <c r="M209" s="14">
        <f>IF(ISNUMBER(L209),L209-Assumptions!$B$5,"")</f>
        <v>230</v>
      </c>
      <c r="N209" s="17">
        <f t="shared" si="18"/>
        <v>0</v>
      </c>
      <c r="O209" s="14">
        <f>IF(COUNTIF(Assumptions!$A$25:$A$27,A209)&gt;0,1,0)</f>
        <v>0</v>
      </c>
      <c r="P209" s="14">
        <f>IF(COUNTIF(Assumptions!$B$25:$B$26,A209)&gt;0,1,0)</f>
        <v>0</v>
      </c>
      <c r="Q209" s="14">
        <f>IF(COUNTIF(Assumptions!$C$25:$C$25,A209)&gt;0,1,0)</f>
        <v>0</v>
      </c>
      <c r="R209" s="17">
        <f t="shared" si="19"/>
        <v>0</v>
      </c>
      <c r="S209" s="15" t="str">
        <f>IFERROR(VLOOKUP(A209,Assumptions!$A$31:$B$33,2,0),"")</f>
        <v/>
      </c>
      <c r="T209" s="15">
        <f t="shared" si="20"/>
        <v>409.25</v>
      </c>
      <c r="U209" s="15">
        <f t="shared" si="21"/>
        <v>391652.25</v>
      </c>
      <c r="V209" s="15">
        <f t="shared" si="22"/>
        <v>391652.25</v>
      </c>
      <c r="W209" s="15">
        <f t="shared" si="23"/>
        <v>0</v>
      </c>
    </row>
    <row r="210" spans="1:23" ht="15" customHeight="1" x14ac:dyDescent="0.2">
      <c r="A210" s="14" t="s">
        <v>2342</v>
      </c>
      <c r="B210" s="14" t="s">
        <v>2343</v>
      </c>
      <c r="C210" s="14" t="s">
        <v>2159</v>
      </c>
      <c r="D210" s="14" t="s">
        <v>46</v>
      </c>
      <c r="E210" s="14" t="s">
        <v>2037</v>
      </c>
      <c r="F210" s="14">
        <v>1209</v>
      </c>
      <c r="G210" s="15">
        <v>144.97</v>
      </c>
      <c r="H210" s="16">
        <v>45999</v>
      </c>
      <c r="I210" s="16">
        <v>45973</v>
      </c>
      <c r="J210" s="16">
        <v>46246</v>
      </c>
      <c r="K210" s="14" t="s">
        <v>2004</v>
      </c>
      <c r="L210" s="16">
        <f>IF(D210="Packaging","",IF(ISNUMBER(J210),J210,IF(ISNUMBER(I210),EDATE(I210,VLOOKUP(D210,Assumptions!$A$10:$B$16,2,0)),"")))</f>
        <v>46246</v>
      </c>
      <c r="M210" s="14">
        <f>IF(ISNUMBER(L210),L210-Assumptions!$B$5,"")</f>
        <v>224</v>
      </c>
      <c r="N210" s="17">
        <f t="shared" si="18"/>
        <v>0</v>
      </c>
      <c r="O210" s="14">
        <f>IF(COUNTIF(Assumptions!$A$25:$A$27,A210)&gt;0,1,0)</f>
        <v>0</v>
      </c>
      <c r="P210" s="14">
        <f>IF(COUNTIF(Assumptions!$B$25:$B$26,A210)&gt;0,1,0)</f>
        <v>0</v>
      </c>
      <c r="Q210" s="14">
        <f>IF(COUNTIF(Assumptions!$C$25:$C$25,A210)&gt;0,1,0)</f>
        <v>0</v>
      </c>
      <c r="R210" s="17">
        <f t="shared" si="19"/>
        <v>0</v>
      </c>
      <c r="S210" s="15" t="str">
        <f>IFERROR(VLOOKUP(A210,Assumptions!$A$31:$B$33,2,0),"")</f>
        <v/>
      </c>
      <c r="T210" s="15">
        <f t="shared" si="20"/>
        <v>144.97</v>
      </c>
      <c r="U210" s="15">
        <f t="shared" si="21"/>
        <v>175268.73</v>
      </c>
      <c r="V210" s="15">
        <f t="shared" si="22"/>
        <v>175268.73</v>
      </c>
      <c r="W210" s="15">
        <f t="shared" si="23"/>
        <v>0</v>
      </c>
    </row>
    <row r="211" spans="1:23" ht="15" customHeight="1" x14ac:dyDescent="0.2">
      <c r="A211" s="14" t="s">
        <v>2344</v>
      </c>
      <c r="B211" s="14" t="s">
        <v>2345</v>
      </c>
      <c r="C211" s="14" t="s">
        <v>1997</v>
      </c>
      <c r="D211" s="14" t="s">
        <v>45</v>
      </c>
      <c r="E211" s="14" t="s">
        <v>1993</v>
      </c>
      <c r="F211" s="14">
        <v>2674</v>
      </c>
      <c r="G211" s="15">
        <v>194.71</v>
      </c>
      <c r="H211" s="16">
        <v>45826</v>
      </c>
      <c r="I211" s="16">
        <v>45782</v>
      </c>
      <c r="J211" s="16">
        <v>45966</v>
      </c>
      <c r="K211" s="14" t="s">
        <v>1994</v>
      </c>
      <c r="L211" s="16">
        <f>IF(D211="Packaging","",IF(ISNUMBER(J211),J211,IF(ISNUMBER(I211),EDATE(I211,VLOOKUP(D211,Assumptions!$A$10:$B$16,2,0)),"")))</f>
        <v>45966</v>
      </c>
      <c r="M211" s="14">
        <f>IF(ISNUMBER(L211),L211-Assumptions!$B$5,"")</f>
        <v>-56</v>
      </c>
      <c r="N211" s="17">
        <f t="shared" si="18"/>
        <v>1</v>
      </c>
      <c r="O211" s="14">
        <f>IF(COUNTIF(Assumptions!$A$25:$A$27,A211)&gt;0,1,0)</f>
        <v>0</v>
      </c>
      <c r="P211" s="14">
        <f>IF(COUNTIF(Assumptions!$B$25:$B$26,A211)&gt;0,1,0)</f>
        <v>0</v>
      </c>
      <c r="Q211" s="14">
        <f>IF(COUNTIF(Assumptions!$C$25:$C$25,A211)&gt;0,1,0)</f>
        <v>0</v>
      </c>
      <c r="R211" s="17">
        <f t="shared" si="19"/>
        <v>1</v>
      </c>
      <c r="S211" s="15" t="str">
        <f>IFERROR(VLOOKUP(A211,Assumptions!$A$31:$B$33,2,0),"")</f>
        <v/>
      </c>
      <c r="T211" s="15">
        <f t="shared" si="20"/>
        <v>194.71</v>
      </c>
      <c r="U211" s="15">
        <f t="shared" si="21"/>
        <v>520654.54000000004</v>
      </c>
      <c r="V211" s="15">
        <f t="shared" si="22"/>
        <v>0</v>
      </c>
      <c r="W211" s="15">
        <f t="shared" si="23"/>
        <v>520654.54000000004</v>
      </c>
    </row>
    <row r="212" spans="1:23" ht="15" customHeight="1" x14ac:dyDescent="0.2">
      <c r="A212" s="14" t="s">
        <v>2346</v>
      </c>
      <c r="B212" s="14" t="s">
        <v>2347</v>
      </c>
      <c r="C212" s="14" t="s">
        <v>2049</v>
      </c>
      <c r="D212" s="14" t="s">
        <v>42</v>
      </c>
      <c r="E212" s="14" t="s">
        <v>1988</v>
      </c>
      <c r="F212" s="14">
        <v>1120</v>
      </c>
      <c r="G212" s="15">
        <v>321.18</v>
      </c>
      <c r="H212" s="16">
        <v>46016</v>
      </c>
      <c r="I212" s="16">
        <v>46481</v>
      </c>
      <c r="J212" s="16">
        <v>46847</v>
      </c>
      <c r="K212" s="14" t="s">
        <v>1989</v>
      </c>
      <c r="L212" s="16">
        <f>IF(D212="Packaging","",IF(ISNUMBER(J212),J212,IF(ISNUMBER(I212),EDATE(I212,VLOOKUP(D212,Assumptions!$A$10:$B$16,2,0)),"")))</f>
        <v>46847</v>
      </c>
      <c r="M212" s="14">
        <f>IF(ISNUMBER(L212),L212-Assumptions!$B$5,"")</f>
        <v>825</v>
      </c>
      <c r="N212" s="17">
        <f t="shared" si="18"/>
        <v>0</v>
      </c>
      <c r="O212" s="14">
        <f>IF(COUNTIF(Assumptions!$A$25:$A$27,A212)&gt;0,1,0)</f>
        <v>0</v>
      </c>
      <c r="P212" s="14">
        <f>IF(COUNTIF(Assumptions!$B$25:$B$26,A212)&gt;0,1,0)</f>
        <v>0</v>
      </c>
      <c r="Q212" s="14">
        <f>IF(COUNTIF(Assumptions!$C$25:$C$25,A212)&gt;0,1,0)</f>
        <v>0</v>
      </c>
      <c r="R212" s="17">
        <f t="shared" si="19"/>
        <v>0</v>
      </c>
      <c r="S212" s="15" t="str">
        <f>IFERROR(VLOOKUP(A212,Assumptions!$A$31:$B$33,2,0),"")</f>
        <v/>
      </c>
      <c r="T212" s="15">
        <f t="shared" si="20"/>
        <v>321.18</v>
      </c>
      <c r="U212" s="15">
        <f t="shared" si="21"/>
        <v>359721.60000000003</v>
      </c>
      <c r="V212" s="15">
        <f t="shared" si="22"/>
        <v>359721.60000000003</v>
      </c>
      <c r="W212" s="15">
        <f t="shared" si="23"/>
        <v>0</v>
      </c>
    </row>
    <row r="213" spans="1:23" ht="15" customHeight="1" x14ac:dyDescent="0.2">
      <c r="A213" s="14" t="s">
        <v>2348</v>
      </c>
      <c r="B213" s="14" t="s">
        <v>2349</v>
      </c>
      <c r="C213" s="14" t="s">
        <v>2066</v>
      </c>
      <c r="D213" s="14" t="s">
        <v>42</v>
      </c>
      <c r="E213" s="14" t="s">
        <v>2014</v>
      </c>
      <c r="F213" s="14">
        <v>3280</v>
      </c>
      <c r="G213" s="15">
        <v>190.15</v>
      </c>
      <c r="H213" s="16">
        <v>45994</v>
      </c>
      <c r="I213" s="16">
        <v>46072</v>
      </c>
      <c r="J213" s="16">
        <v>46437</v>
      </c>
      <c r="K213" s="14" t="s">
        <v>1994</v>
      </c>
      <c r="L213" s="16">
        <f>IF(D213="Packaging","",IF(ISNUMBER(J213),J213,IF(ISNUMBER(I213),EDATE(I213,VLOOKUP(D213,Assumptions!$A$10:$B$16,2,0)),"")))</f>
        <v>46437</v>
      </c>
      <c r="M213" s="14">
        <f>IF(ISNUMBER(L213),L213-Assumptions!$B$5,"")</f>
        <v>415</v>
      </c>
      <c r="N213" s="17">
        <f t="shared" si="18"/>
        <v>0</v>
      </c>
      <c r="O213" s="14">
        <f>IF(COUNTIF(Assumptions!$A$25:$A$27,A213)&gt;0,1,0)</f>
        <v>0</v>
      </c>
      <c r="P213" s="14">
        <f>IF(COUNTIF(Assumptions!$B$25:$B$26,A213)&gt;0,1,0)</f>
        <v>0</v>
      </c>
      <c r="Q213" s="14">
        <f>IF(COUNTIF(Assumptions!$C$25:$C$25,A213)&gt;0,1,0)</f>
        <v>0</v>
      </c>
      <c r="R213" s="17">
        <f t="shared" si="19"/>
        <v>0</v>
      </c>
      <c r="S213" s="15" t="str">
        <f>IFERROR(VLOOKUP(A213,Assumptions!$A$31:$B$33,2,0),"")</f>
        <v/>
      </c>
      <c r="T213" s="15">
        <f t="shared" si="20"/>
        <v>190.15</v>
      </c>
      <c r="U213" s="15">
        <f t="shared" si="21"/>
        <v>623692</v>
      </c>
      <c r="V213" s="15">
        <f t="shared" si="22"/>
        <v>623692</v>
      </c>
      <c r="W213" s="15">
        <f t="shared" si="23"/>
        <v>0</v>
      </c>
    </row>
    <row r="214" spans="1:23" ht="15" customHeight="1" x14ac:dyDescent="0.2">
      <c r="A214" s="14" t="s">
        <v>2350</v>
      </c>
      <c r="B214" s="14" t="s">
        <v>2351</v>
      </c>
      <c r="C214" s="14" t="s">
        <v>2089</v>
      </c>
      <c r="D214" s="14" t="s">
        <v>46</v>
      </c>
      <c r="E214" s="14" t="s">
        <v>1993</v>
      </c>
      <c r="F214" s="14">
        <v>4957</v>
      </c>
      <c r="G214" s="15">
        <v>250.67</v>
      </c>
      <c r="H214" s="16">
        <v>46008</v>
      </c>
      <c r="I214" s="16">
        <v>45993</v>
      </c>
      <c r="J214" s="16">
        <v>46267</v>
      </c>
      <c r="K214" s="14" t="s">
        <v>2004</v>
      </c>
      <c r="L214" s="16">
        <f>IF(D214="Packaging","",IF(ISNUMBER(J214),J214,IF(ISNUMBER(I214),EDATE(I214,VLOOKUP(D214,Assumptions!$A$10:$B$16,2,0)),"")))</f>
        <v>46267</v>
      </c>
      <c r="M214" s="14">
        <f>IF(ISNUMBER(L214),L214-Assumptions!$B$5,"")</f>
        <v>245</v>
      </c>
      <c r="N214" s="17">
        <f t="shared" si="18"/>
        <v>0</v>
      </c>
      <c r="O214" s="14">
        <f>IF(COUNTIF(Assumptions!$A$25:$A$27,A214)&gt;0,1,0)</f>
        <v>0</v>
      </c>
      <c r="P214" s="14">
        <f>IF(COUNTIF(Assumptions!$B$25:$B$26,A214)&gt;0,1,0)</f>
        <v>0</v>
      </c>
      <c r="Q214" s="14">
        <f>IF(COUNTIF(Assumptions!$C$25:$C$25,A214)&gt;0,1,0)</f>
        <v>0</v>
      </c>
      <c r="R214" s="17">
        <f t="shared" si="19"/>
        <v>0</v>
      </c>
      <c r="S214" s="15" t="str">
        <f>IFERROR(VLOOKUP(A214,Assumptions!$A$31:$B$33,2,0),"")</f>
        <v/>
      </c>
      <c r="T214" s="15">
        <f t="shared" si="20"/>
        <v>250.67</v>
      </c>
      <c r="U214" s="15">
        <f t="shared" si="21"/>
        <v>1242571.19</v>
      </c>
      <c r="V214" s="15">
        <f t="shared" si="22"/>
        <v>1242571.19</v>
      </c>
      <c r="W214" s="15">
        <f t="shared" si="23"/>
        <v>0</v>
      </c>
    </row>
    <row r="215" spans="1:23" ht="15" customHeight="1" x14ac:dyDescent="0.2">
      <c r="A215" s="14" t="s">
        <v>2352</v>
      </c>
      <c r="B215" s="14" t="s">
        <v>2353</v>
      </c>
      <c r="C215" s="14" t="s">
        <v>2018</v>
      </c>
      <c r="D215" s="14" t="s">
        <v>36</v>
      </c>
      <c r="E215" s="14" t="s">
        <v>1988</v>
      </c>
      <c r="F215" s="14">
        <v>3844</v>
      </c>
      <c r="G215" s="15">
        <v>72.86</v>
      </c>
      <c r="H215" s="16">
        <v>45983</v>
      </c>
      <c r="I215" s="16">
        <v>45958</v>
      </c>
      <c r="J215" s="16">
        <v>46688</v>
      </c>
      <c r="K215" s="14" t="s">
        <v>2021</v>
      </c>
      <c r="L215" s="16">
        <f>IF(D215="Packaging","",IF(ISNUMBER(J215),J215,IF(ISNUMBER(I215),EDATE(I215,VLOOKUP(D215,Assumptions!$A$10:$B$16,2,0)),"")))</f>
        <v>46688</v>
      </c>
      <c r="M215" s="14">
        <f>IF(ISNUMBER(L215),L215-Assumptions!$B$5,"")</f>
        <v>666</v>
      </c>
      <c r="N215" s="17">
        <f t="shared" si="18"/>
        <v>0</v>
      </c>
      <c r="O215" s="14">
        <f>IF(COUNTIF(Assumptions!$A$25:$A$27,A215)&gt;0,1,0)</f>
        <v>0</v>
      </c>
      <c r="P215" s="14">
        <f>IF(COUNTIF(Assumptions!$B$25:$B$26,A215)&gt;0,1,0)</f>
        <v>0</v>
      </c>
      <c r="Q215" s="14">
        <f>IF(COUNTIF(Assumptions!$C$25:$C$25,A215)&gt;0,1,0)</f>
        <v>0</v>
      </c>
      <c r="R215" s="17">
        <f t="shared" si="19"/>
        <v>0</v>
      </c>
      <c r="S215" s="15" t="str">
        <f>IFERROR(VLOOKUP(A215,Assumptions!$A$31:$B$33,2,0),"")</f>
        <v/>
      </c>
      <c r="T215" s="15">
        <f t="shared" si="20"/>
        <v>72.86</v>
      </c>
      <c r="U215" s="15">
        <f t="shared" si="21"/>
        <v>280073.84000000003</v>
      </c>
      <c r="V215" s="15">
        <f t="shared" si="22"/>
        <v>280073.84000000003</v>
      </c>
      <c r="W215" s="15">
        <f t="shared" si="23"/>
        <v>0</v>
      </c>
    </row>
    <row r="216" spans="1:23" ht="15" customHeight="1" x14ac:dyDescent="0.2">
      <c r="A216" s="14" t="s">
        <v>717</v>
      </c>
      <c r="B216" s="14" t="s">
        <v>716</v>
      </c>
      <c r="C216" s="14" t="s">
        <v>2119</v>
      </c>
      <c r="D216" s="14" t="s">
        <v>39</v>
      </c>
      <c r="E216" s="14" t="s">
        <v>2014</v>
      </c>
      <c r="F216" s="14">
        <v>1256</v>
      </c>
      <c r="G216" s="15">
        <v>48.61</v>
      </c>
      <c r="H216" s="16">
        <v>45424</v>
      </c>
      <c r="I216" s="16">
        <v>45364</v>
      </c>
      <c r="J216" s="16">
        <v>46459</v>
      </c>
      <c r="K216" s="14" t="s">
        <v>2052</v>
      </c>
      <c r="L216" s="16">
        <f>IF(D216="Packaging","",IF(ISNUMBER(J216),J216,IF(ISNUMBER(I216),EDATE(I216,VLOOKUP(D216,Assumptions!$A$10:$B$16,2,0)),"")))</f>
        <v>46459</v>
      </c>
      <c r="M216" s="14">
        <f>IF(ISNUMBER(L216),L216-Assumptions!$B$5,"")</f>
        <v>437</v>
      </c>
      <c r="N216" s="17">
        <f t="shared" si="18"/>
        <v>0</v>
      </c>
      <c r="O216" s="14">
        <f>IF(COUNTIF(Assumptions!$A$25:$A$27,A216)&gt;0,1,0)</f>
        <v>0</v>
      </c>
      <c r="P216" s="14">
        <f>IF(COUNTIF(Assumptions!$B$25:$B$26,A216)&gt;0,1,0)</f>
        <v>0</v>
      </c>
      <c r="Q216" s="14">
        <f>IF(COUNTIF(Assumptions!$C$25:$C$25,A216)&gt;0,1,0)</f>
        <v>0</v>
      </c>
      <c r="R216" s="17">
        <f t="shared" si="19"/>
        <v>0</v>
      </c>
      <c r="S216" s="15" t="str">
        <f>IFERROR(VLOOKUP(A216,Assumptions!$A$31:$B$33,2,0),"")</f>
        <v/>
      </c>
      <c r="T216" s="15">
        <f t="shared" si="20"/>
        <v>48.61</v>
      </c>
      <c r="U216" s="15">
        <f t="shared" si="21"/>
        <v>61054.159999999996</v>
      </c>
      <c r="V216" s="15">
        <f t="shared" si="22"/>
        <v>61054.159999999996</v>
      </c>
      <c r="W216" s="15">
        <f t="shared" si="23"/>
        <v>0</v>
      </c>
    </row>
    <row r="217" spans="1:23" ht="15" customHeight="1" x14ac:dyDescent="0.2">
      <c r="A217" s="14" t="s">
        <v>2354</v>
      </c>
      <c r="B217" s="14" t="s">
        <v>2355</v>
      </c>
      <c r="C217" s="14" t="s">
        <v>2010</v>
      </c>
      <c r="D217" s="14" t="s">
        <v>46</v>
      </c>
      <c r="E217" s="14" t="s">
        <v>2014</v>
      </c>
      <c r="F217" s="14">
        <v>4813</v>
      </c>
      <c r="G217" s="15">
        <v>182.83</v>
      </c>
      <c r="H217" s="16">
        <v>45963</v>
      </c>
      <c r="I217" s="16">
        <v>46391</v>
      </c>
      <c r="J217" s="16">
        <v>46664</v>
      </c>
      <c r="K217" s="14" t="s">
        <v>2021</v>
      </c>
      <c r="L217" s="16">
        <f>IF(D217="Packaging","",IF(ISNUMBER(J217),J217,IF(ISNUMBER(I217),EDATE(I217,VLOOKUP(D217,Assumptions!$A$10:$B$16,2,0)),"")))</f>
        <v>46664</v>
      </c>
      <c r="M217" s="14">
        <f>IF(ISNUMBER(L217),L217-Assumptions!$B$5,"")</f>
        <v>642</v>
      </c>
      <c r="N217" s="17">
        <f t="shared" si="18"/>
        <v>0</v>
      </c>
      <c r="O217" s="14">
        <f>IF(COUNTIF(Assumptions!$A$25:$A$27,A217)&gt;0,1,0)</f>
        <v>0</v>
      </c>
      <c r="P217" s="14">
        <f>IF(COUNTIF(Assumptions!$B$25:$B$26,A217)&gt;0,1,0)</f>
        <v>0</v>
      </c>
      <c r="Q217" s="14">
        <f>IF(COUNTIF(Assumptions!$C$25:$C$25,A217)&gt;0,1,0)</f>
        <v>0</v>
      </c>
      <c r="R217" s="17">
        <f t="shared" si="19"/>
        <v>0</v>
      </c>
      <c r="S217" s="15" t="str">
        <f>IFERROR(VLOOKUP(A217,Assumptions!$A$31:$B$33,2,0),"")</f>
        <v/>
      </c>
      <c r="T217" s="15">
        <f t="shared" si="20"/>
        <v>182.83</v>
      </c>
      <c r="U217" s="15">
        <f t="shared" si="21"/>
        <v>879960.79</v>
      </c>
      <c r="V217" s="15">
        <f t="shared" si="22"/>
        <v>879960.79</v>
      </c>
      <c r="W217" s="15">
        <f t="shared" si="23"/>
        <v>0</v>
      </c>
    </row>
    <row r="218" spans="1:23" ht="15" customHeight="1" x14ac:dyDescent="0.2">
      <c r="A218" s="14" t="s">
        <v>2356</v>
      </c>
      <c r="B218" s="14" t="s">
        <v>2357</v>
      </c>
      <c r="C218" s="14" t="s">
        <v>2094</v>
      </c>
      <c r="D218" s="14" t="s">
        <v>47</v>
      </c>
      <c r="E218" s="14" t="s">
        <v>2037</v>
      </c>
      <c r="F218" s="14">
        <v>4412</v>
      </c>
      <c r="G218" s="15">
        <v>79.41</v>
      </c>
      <c r="H218" s="16">
        <v>45476</v>
      </c>
      <c r="I218" s="16">
        <v>45397</v>
      </c>
      <c r="J218" s="16"/>
      <c r="K218" s="14" t="s">
        <v>2030</v>
      </c>
      <c r="L218" s="16" t="str">
        <f>IF(D218="Packaging","",IF(ISNUMBER(J218),J218,IF(ISNUMBER(I218),EDATE(I218,VLOOKUP(D218,Assumptions!$A$10:$B$16,2,0)),"")))</f>
        <v/>
      </c>
      <c r="M218" s="14" t="str">
        <f>IF(ISNUMBER(L218),L218-Assumptions!$B$5,"")</f>
        <v/>
      </c>
      <c r="N218" s="17">
        <f t="shared" si="18"/>
        <v>0</v>
      </c>
      <c r="O218" s="14">
        <f>IF(COUNTIF(Assumptions!$A$25:$A$27,A218)&gt;0,1,0)</f>
        <v>0</v>
      </c>
      <c r="P218" s="14">
        <f>IF(COUNTIF(Assumptions!$B$25:$B$26,A218)&gt;0,1,0)</f>
        <v>0</v>
      </c>
      <c r="Q218" s="14">
        <f>IF(COUNTIF(Assumptions!$C$25:$C$25,A218)&gt;0,1,0)</f>
        <v>0</v>
      </c>
      <c r="R218" s="17">
        <f t="shared" si="19"/>
        <v>0</v>
      </c>
      <c r="S218" s="15" t="str">
        <f>IFERROR(VLOOKUP(A218,Assumptions!$A$31:$B$33,2,0),"")</f>
        <v/>
      </c>
      <c r="T218" s="15">
        <f t="shared" si="20"/>
        <v>79.41</v>
      </c>
      <c r="U218" s="15">
        <f t="shared" si="21"/>
        <v>350356.92</v>
      </c>
      <c r="V218" s="15">
        <f t="shared" si="22"/>
        <v>350356.92</v>
      </c>
      <c r="W218" s="15">
        <f t="shared" si="23"/>
        <v>0</v>
      </c>
    </row>
    <row r="219" spans="1:23" ht="15" customHeight="1" x14ac:dyDescent="0.2">
      <c r="A219" s="14" t="s">
        <v>2358</v>
      </c>
      <c r="B219" s="14" t="s">
        <v>2359</v>
      </c>
      <c r="C219" s="14" t="s">
        <v>2137</v>
      </c>
      <c r="D219" s="14" t="s">
        <v>36</v>
      </c>
      <c r="E219" s="14" t="s">
        <v>2014</v>
      </c>
      <c r="F219" s="14">
        <v>1289</v>
      </c>
      <c r="G219" s="15">
        <v>95.56</v>
      </c>
      <c r="H219" s="16">
        <v>45954</v>
      </c>
      <c r="I219" s="16">
        <v>45877</v>
      </c>
      <c r="J219" s="16">
        <v>46607</v>
      </c>
      <c r="K219" s="14" t="s">
        <v>2052</v>
      </c>
      <c r="L219" s="16">
        <f>IF(D219="Packaging","",IF(ISNUMBER(J219),J219,IF(ISNUMBER(I219),EDATE(I219,VLOOKUP(D219,Assumptions!$A$10:$B$16,2,0)),"")))</f>
        <v>46607</v>
      </c>
      <c r="M219" s="14">
        <f>IF(ISNUMBER(L219),L219-Assumptions!$B$5,"")</f>
        <v>585</v>
      </c>
      <c r="N219" s="17">
        <f t="shared" si="18"/>
        <v>0</v>
      </c>
      <c r="O219" s="14">
        <f>IF(COUNTIF(Assumptions!$A$25:$A$27,A219)&gt;0,1,0)</f>
        <v>0</v>
      </c>
      <c r="P219" s="14">
        <f>IF(COUNTIF(Assumptions!$B$25:$B$26,A219)&gt;0,1,0)</f>
        <v>0</v>
      </c>
      <c r="Q219" s="14">
        <f>IF(COUNTIF(Assumptions!$C$25:$C$25,A219)&gt;0,1,0)</f>
        <v>0</v>
      </c>
      <c r="R219" s="17">
        <f t="shared" si="19"/>
        <v>0</v>
      </c>
      <c r="S219" s="15" t="str">
        <f>IFERROR(VLOOKUP(A219,Assumptions!$A$31:$B$33,2,0),"")</f>
        <v/>
      </c>
      <c r="T219" s="15">
        <f t="shared" si="20"/>
        <v>95.56</v>
      </c>
      <c r="U219" s="15">
        <f t="shared" si="21"/>
        <v>123176.84</v>
      </c>
      <c r="V219" s="15">
        <f t="shared" si="22"/>
        <v>123176.84</v>
      </c>
      <c r="W219" s="15">
        <f t="shared" si="23"/>
        <v>0</v>
      </c>
    </row>
    <row r="220" spans="1:23" ht="15" customHeight="1" x14ac:dyDescent="0.2">
      <c r="A220" s="14" t="s">
        <v>720</v>
      </c>
      <c r="B220" s="14" t="s">
        <v>719</v>
      </c>
      <c r="C220" s="14" t="s">
        <v>2192</v>
      </c>
      <c r="D220" s="14" t="s">
        <v>39</v>
      </c>
      <c r="E220" s="14" t="s">
        <v>1993</v>
      </c>
      <c r="F220" s="14">
        <v>1032</v>
      </c>
      <c r="G220" s="15">
        <v>331.51</v>
      </c>
      <c r="H220" s="16">
        <v>45539</v>
      </c>
      <c r="I220" s="16">
        <v>45522</v>
      </c>
      <c r="J220" s="16">
        <v>46617</v>
      </c>
      <c r="K220" s="14" t="s">
        <v>1994</v>
      </c>
      <c r="L220" s="16">
        <f>IF(D220="Packaging","",IF(ISNUMBER(J220),J220,IF(ISNUMBER(I220),EDATE(I220,VLOOKUP(D220,Assumptions!$A$10:$B$16,2,0)),"")))</f>
        <v>46617</v>
      </c>
      <c r="M220" s="14">
        <f>IF(ISNUMBER(L220),L220-Assumptions!$B$5,"")</f>
        <v>595</v>
      </c>
      <c r="N220" s="17">
        <f t="shared" si="18"/>
        <v>0</v>
      </c>
      <c r="O220" s="14">
        <f>IF(COUNTIF(Assumptions!$A$25:$A$27,A220)&gt;0,1,0)</f>
        <v>0</v>
      </c>
      <c r="P220" s="14">
        <f>IF(COUNTIF(Assumptions!$B$25:$B$26,A220)&gt;0,1,0)</f>
        <v>0</v>
      </c>
      <c r="Q220" s="14">
        <f>IF(COUNTIF(Assumptions!$C$25:$C$25,A220)&gt;0,1,0)</f>
        <v>0</v>
      </c>
      <c r="R220" s="17">
        <f t="shared" si="19"/>
        <v>0</v>
      </c>
      <c r="S220" s="15" t="str">
        <f>IFERROR(VLOOKUP(A220,Assumptions!$A$31:$B$33,2,0),"")</f>
        <v/>
      </c>
      <c r="T220" s="15">
        <f t="shared" si="20"/>
        <v>331.51</v>
      </c>
      <c r="U220" s="15">
        <f t="shared" si="21"/>
        <v>342118.32</v>
      </c>
      <c r="V220" s="15">
        <f t="shared" si="22"/>
        <v>342118.32</v>
      </c>
      <c r="W220" s="15">
        <f t="shared" si="23"/>
        <v>0</v>
      </c>
    </row>
    <row r="221" spans="1:23" ht="15" customHeight="1" x14ac:dyDescent="0.2">
      <c r="A221" s="14" t="s">
        <v>2360</v>
      </c>
      <c r="B221" s="14" t="s">
        <v>2361</v>
      </c>
      <c r="C221" s="14" t="s">
        <v>2219</v>
      </c>
      <c r="D221" s="14" t="s">
        <v>42</v>
      </c>
      <c r="E221" s="14" t="s">
        <v>2037</v>
      </c>
      <c r="F221" s="14">
        <v>3585</v>
      </c>
      <c r="G221" s="15">
        <v>363.98</v>
      </c>
      <c r="H221" s="16">
        <v>45989</v>
      </c>
      <c r="I221" s="16">
        <v>46091</v>
      </c>
      <c r="J221" s="16">
        <v>46456</v>
      </c>
      <c r="K221" s="14" t="s">
        <v>2030</v>
      </c>
      <c r="L221" s="16">
        <f>IF(D221="Packaging","",IF(ISNUMBER(J221),J221,IF(ISNUMBER(I221),EDATE(I221,VLOOKUP(D221,Assumptions!$A$10:$B$16,2,0)),"")))</f>
        <v>46456</v>
      </c>
      <c r="M221" s="14">
        <f>IF(ISNUMBER(L221),L221-Assumptions!$B$5,"")</f>
        <v>434</v>
      </c>
      <c r="N221" s="17">
        <f t="shared" si="18"/>
        <v>0</v>
      </c>
      <c r="O221" s="14">
        <f>IF(COUNTIF(Assumptions!$A$25:$A$27,A221)&gt;0,1,0)</f>
        <v>0</v>
      </c>
      <c r="P221" s="14">
        <f>IF(COUNTIF(Assumptions!$B$25:$B$26,A221)&gt;0,1,0)</f>
        <v>0</v>
      </c>
      <c r="Q221" s="14">
        <f>IF(COUNTIF(Assumptions!$C$25:$C$25,A221)&gt;0,1,0)</f>
        <v>0</v>
      </c>
      <c r="R221" s="17">
        <f t="shared" si="19"/>
        <v>0</v>
      </c>
      <c r="S221" s="15" t="str">
        <f>IFERROR(VLOOKUP(A221,Assumptions!$A$31:$B$33,2,0),"")</f>
        <v/>
      </c>
      <c r="T221" s="15">
        <f t="shared" si="20"/>
        <v>363.98</v>
      </c>
      <c r="U221" s="15">
        <f t="shared" si="21"/>
        <v>1304868.3</v>
      </c>
      <c r="V221" s="15">
        <f t="shared" si="22"/>
        <v>1304868.3</v>
      </c>
      <c r="W221" s="15">
        <f t="shared" si="23"/>
        <v>0</v>
      </c>
    </row>
    <row r="222" spans="1:23" ht="15" customHeight="1" x14ac:dyDescent="0.2">
      <c r="A222" s="14" t="s">
        <v>2362</v>
      </c>
      <c r="B222" s="14" t="s">
        <v>2363</v>
      </c>
      <c r="C222" s="14" t="s">
        <v>2013</v>
      </c>
      <c r="D222" s="14" t="s">
        <v>44</v>
      </c>
      <c r="E222" s="14" t="s">
        <v>1988</v>
      </c>
      <c r="F222" s="14">
        <v>4324</v>
      </c>
      <c r="G222" s="15">
        <v>299.48</v>
      </c>
      <c r="H222" s="16">
        <v>46015</v>
      </c>
      <c r="I222" s="16">
        <v>46281</v>
      </c>
      <c r="J222" s="16"/>
      <c r="K222" s="14" t="s">
        <v>1989</v>
      </c>
      <c r="L222" s="16">
        <f>IF(D222="Packaging","",IF(ISNUMBER(J222),J222,IF(ISNUMBER(I222),EDATE(I222,VLOOKUP(D222,Assumptions!$A$10:$B$16,2,0)),"")))</f>
        <v>46828</v>
      </c>
      <c r="M222" s="14">
        <f>IF(ISNUMBER(L222),L222-Assumptions!$B$5,"")</f>
        <v>806</v>
      </c>
      <c r="N222" s="17">
        <f t="shared" si="18"/>
        <v>0</v>
      </c>
      <c r="O222" s="14">
        <f>IF(COUNTIF(Assumptions!$A$25:$A$27,A222)&gt;0,1,0)</f>
        <v>0</v>
      </c>
      <c r="P222" s="14">
        <f>IF(COUNTIF(Assumptions!$B$25:$B$26,A222)&gt;0,1,0)</f>
        <v>0</v>
      </c>
      <c r="Q222" s="14">
        <f>IF(COUNTIF(Assumptions!$C$25:$C$25,A222)&gt;0,1,0)</f>
        <v>0</v>
      </c>
      <c r="R222" s="17">
        <f t="shared" si="19"/>
        <v>0</v>
      </c>
      <c r="S222" s="15" t="str">
        <f>IFERROR(VLOOKUP(A222,Assumptions!$A$31:$B$33,2,0),"")</f>
        <v/>
      </c>
      <c r="T222" s="15">
        <f t="shared" si="20"/>
        <v>299.48</v>
      </c>
      <c r="U222" s="15">
        <f t="shared" si="21"/>
        <v>1294951.52</v>
      </c>
      <c r="V222" s="15">
        <f t="shared" si="22"/>
        <v>1294951.52</v>
      </c>
      <c r="W222" s="15">
        <f t="shared" si="23"/>
        <v>0</v>
      </c>
    </row>
    <row r="223" spans="1:23" ht="15" customHeight="1" x14ac:dyDescent="0.2">
      <c r="A223" s="14" t="s">
        <v>2364</v>
      </c>
      <c r="B223" s="14" t="s">
        <v>2365</v>
      </c>
      <c r="C223" s="14" t="s">
        <v>2089</v>
      </c>
      <c r="D223" s="14" t="s">
        <v>46</v>
      </c>
      <c r="E223" s="14" t="s">
        <v>2037</v>
      </c>
      <c r="F223" s="14">
        <v>1436</v>
      </c>
      <c r="G223" s="15">
        <v>266.12</v>
      </c>
      <c r="H223" s="16">
        <v>45965</v>
      </c>
      <c r="I223" s="16">
        <v>45997</v>
      </c>
      <c r="J223" s="16">
        <v>46271</v>
      </c>
      <c r="K223" s="14" t="s">
        <v>1994</v>
      </c>
      <c r="L223" s="16">
        <f>IF(D223="Packaging","",IF(ISNUMBER(J223),J223,IF(ISNUMBER(I223),EDATE(I223,VLOOKUP(D223,Assumptions!$A$10:$B$16,2,0)),"")))</f>
        <v>46271</v>
      </c>
      <c r="M223" s="14">
        <f>IF(ISNUMBER(L223),L223-Assumptions!$B$5,"")</f>
        <v>249</v>
      </c>
      <c r="N223" s="17">
        <f t="shared" si="18"/>
        <v>0</v>
      </c>
      <c r="O223" s="14">
        <f>IF(COUNTIF(Assumptions!$A$25:$A$27,A223)&gt;0,1,0)</f>
        <v>0</v>
      </c>
      <c r="P223" s="14">
        <f>IF(COUNTIF(Assumptions!$B$25:$B$26,A223)&gt;0,1,0)</f>
        <v>0</v>
      </c>
      <c r="Q223" s="14">
        <f>IF(COUNTIF(Assumptions!$C$25:$C$25,A223)&gt;0,1,0)</f>
        <v>0</v>
      </c>
      <c r="R223" s="17">
        <f t="shared" si="19"/>
        <v>0</v>
      </c>
      <c r="S223" s="15" t="str">
        <f>IFERROR(VLOOKUP(A223,Assumptions!$A$31:$B$33,2,0),"")</f>
        <v/>
      </c>
      <c r="T223" s="15">
        <f t="shared" si="20"/>
        <v>266.12</v>
      </c>
      <c r="U223" s="15">
        <f t="shared" si="21"/>
        <v>382148.32</v>
      </c>
      <c r="V223" s="15">
        <f t="shared" si="22"/>
        <v>382148.32</v>
      </c>
      <c r="W223" s="15">
        <f t="shared" si="23"/>
        <v>0</v>
      </c>
    </row>
    <row r="224" spans="1:23" ht="15" customHeight="1" x14ac:dyDescent="0.2">
      <c r="A224" s="14" t="s">
        <v>2366</v>
      </c>
      <c r="B224" s="14" t="s">
        <v>2367</v>
      </c>
      <c r="C224" s="14" t="s">
        <v>1992</v>
      </c>
      <c r="D224" s="14" t="s">
        <v>45</v>
      </c>
      <c r="E224" s="14" t="s">
        <v>1988</v>
      </c>
      <c r="F224" s="14">
        <v>3907</v>
      </c>
      <c r="G224" s="15">
        <v>244.63</v>
      </c>
      <c r="H224" s="16">
        <v>45969</v>
      </c>
      <c r="I224" s="16">
        <v>46485</v>
      </c>
      <c r="J224" s="16"/>
      <c r="K224" s="14" t="s">
        <v>2004</v>
      </c>
      <c r="L224" s="16">
        <f>IF(D224="Packaging","",IF(ISNUMBER(J224),J224,IF(ISNUMBER(I224),EDATE(I224,VLOOKUP(D224,Assumptions!$A$10:$B$16,2,0)),"")))</f>
        <v>46668</v>
      </c>
      <c r="M224" s="14">
        <f>IF(ISNUMBER(L224),L224-Assumptions!$B$5,"")</f>
        <v>646</v>
      </c>
      <c r="N224" s="17">
        <f t="shared" si="18"/>
        <v>0</v>
      </c>
      <c r="O224" s="14">
        <f>IF(COUNTIF(Assumptions!$A$25:$A$27,A224)&gt;0,1,0)</f>
        <v>0</v>
      </c>
      <c r="P224" s="14">
        <f>IF(COUNTIF(Assumptions!$B$25:$B$26,A224)&gt;0,1,0)</f>
        <v>0</v>
      </c>
      <c r="Q224" s="14">
        <f>IF(COUNTIF(Assumptions!$C$25:$C$25,A224)&gt;0,1,0)</f>
        <v>0</v>
      </c>
      <c r="R224" s="17">
        <f t="shared" si="19"/>
        <v>0</v>
      </c>
      <c r="S224" s="15" t="str">
        <f>IFERROR(VLOOKUP(A224,Assumptions!$A$31:$B$33,2,0),"")</f>
        <v/>
      </c>
      <c r="T224" s="15">
        <f t="shared" si="20"/>
        <v>244.63</v>
      </c>
      <c r="U224" s="15">
        <f t="shared" si="21"/>
        <v>955769.41</v>
      </c>
      <c r="V224" s="15">
        <f t="shared" si="22"/>
        <v>955769.41</v>
      </c>
      <c r="W224" s="15">
        <f t="shared" si="23"/>
        <v>0</v>
      </c>
    </row>
    <row r="225" spans="1:23" ht="15" customHeight="1" x14ac:dyDescent="0.2">
      <c r="A225" s="14" t="s">
        <v>2368</v>
      </c>
      <c r="B225" s="14" t="s">
        <v>2369</v>
      </c>
      <c r="C225" s="14" t="s">
        <v>1997</v>
      </c>
      <c r="D225" s="14" t="s">
        <v>45</v>
      </c>
      <c r="E225" s="14" t="s">
        <v>2014</v>
      </c>
      <c r="F225" s="14">
        <v>990</v>
      </c>
      <c r="G225" s="15">
        <v>311.18</v>
      </c>
      <c r="H225" s="16">
        <v>46012</v>
      </c>
      <c r="I225" s="16">
        <v>46669</v>
      </c>
      <c r="J225" s="16">
        <v>46852</v>
      </c>
      <c r="K225" s="14" t="s">
        <v>2015</v>
      </c>
      <c r="L225" s="16">
        <f>IF(D225="Packaging","",IF(ISNUMBER(J225),J225,IF(ISNUMBER(I225),EDATE(I225,VLOOKUP(D225,Assumptions!$A$10:$B$16,2,0)),"")))</f>
        <v>46852</v>
      </c>
      <c r="M225" s="14">
        <f>IF(ISNUMBER(L225),L225-Assumptions!$B$5,"")</f>
        <v>830</v>
      </c>
      <c r="N225" s="17">
        <f t="shared" si="18"/>
        <v>0</v>
      </c>
      <c r="O225" s="14">
        <f>IF(COUNTIF(Assumptions!$A$25:$A$27,A225)&gt;0,1,0)</f>
        <v>0</v>
      </c>
      <c r="P225" s="14">
        <f>IF(COUNTIF(Assumptions!$B$25:$B$26,A225)&gt;0,1,0)</f>
        <v>0</v>
      </c>
      <c r="Q225" s="14">
        <f>IF(COUNTIF(Assumptions!$C$25:$C$25,A225)&gt;0,1,0)</f>
        <v>0</v>
      </c>
      <c r="R225" s="17">
        <f t="shared" si="19"/>
        <v>0</v>
      </c>
      <c r="S225" s="15" t="str">
        <f>IFERROR(VLOOKUP(A225,Assumptions!$A$31:$B$33,2,0),"")</f>
        <v/>
      </c>
      <c r="T225" s="15">
        <f t="shared" si="20"/>
        <v>311.18</v>
      </c>
      <c r="U225" s="15">
        <f t="shared" si="21"/>
        <v>308068.2</v>
      </c>
      <c r="V225" s="15">
        <f t="shared" si="22"/>
        <v>308068.2</v>
      </c>
      <c r="W225" s="15">
        <f t="shared" si="23"/>
        <v>0</v>
      </c>
    </row>
    <row r="226" spans="1:23" ht="15" customHeight="1" x14ac:dyDescent="0.2">
      <c r="A226" s="14" t="s">
        <v>750</v>
      </c>
      <c r="B226" s="14" t="s">
        <v>749</v>
      </c>
      <c r="C226" s="14" t="s">
        <v>2119</v>
      </c>
      <c r="D226" s="14" t="s">
        <v>39</v>
      </c>
      <c r="E226" s="14" t="s">
        <v>2037</v>
      </c>
      <c r="F226" s="14">
        <v>3751</v>
      </c>
      <c r="G226" s="15">
        <v>214.88</v>
      </c>
      <c r="H226" s="16">
        <v>45582</v>
      </c>
      <c r="I226" s="16">
        <v>45573</v>
      </c>
      <c r="J226" s="16">
        <v>46668</v>
      </c>
      <c r="K226" s="14" t="s">
        <v>2052</v>
      </c>
      <c r="L226" s="16">
        <f>IF(D226="Packaging","",IF(ISNUMBER(J226),J226,IF(ISNUMBER(I226),EDATE(I226,VLOOKUP(D226,Assumptions!$A$10:$B$16,2,0)),"")))</f>
        <v>46668</v>
      </c>
      <c r="M226" s="14">
        <f>IF(ISNUMBER(L226),L226-Assumptions!$B$5,"")</f>
        <v>646</v>
      </c>
      <c r="N226" s="17">
        <f t="shared" si="18"/>
        <v>0</v>
      </c>
      <c r="O226" s="14">
        <f>IF(COUNTIF(Assumptions!$A$25:$A$27,A226)&gt;0,1,0)</f>
        <v>0</v>
      </c>
      <c r="P226" s="14">
        <f>IF(COUNTIF(Assumptions!$B$25:$B$26,A226)&gt;0,1,0)</f>
        <v>0</v>
      </c>
      <c r="Q226" s="14">
        <f>IF(COUNTIF(Assumptions!$C$25:$C$25,A226)&gt;0,1,0)</f>
        <v>0</v>
      </c>
      <c r="R226" s="17">
        <f t="shared" si="19"/>
        <v>0</v>
      </c>
      <c r="S226" s="15" t="str">
        <f>IFERROR(VLOOKUP(A226,Assumptions!$A$31:$B$33,2,0),"")</f>
        <v/>
      </c>
      <c r="T226" s="15">
        <f t="shared" si="20"/>
        <v>214.88</v>
      </c>
      <c r="U226" s="15">
        <f t="shared" si="21"/>
        <v>806014.88</v>
      </c>
      <c r="V226" s="15">
        <f t="shared" si="22"/>
        <v>806014.88</v>
      </c>
      <c r="W226" s="15">
        <f t="shared" si="23"/>
        <v>0</v>
      </c>
    </row>
    <row r="227" spans="1:23" ht="15" customHeight="1" x14ac:dyDescent="0.2">
      <c r="A227" s="14" t="s">
        <v>2370</v>
      </c>
      <c r="B227" s="14" t="s">
        <v>2371</v>
      </c>
      <c r="C227" s="14" t="s">
        <v>2066</v>
      </c>
      <c r="D227" s="14" t="s">
        <v>42</v>
      </c>
      <c r="E227" s="14" t="s">
        <v>2014</v>
      </c>
      <c r="F227" s="14">
        <v>4572</v>
      </c>
      <c r="G227" s="15">
        <v>55.66</v>
      </c>
      <c r="H227" s="16">
        <v>46008</v>
      </c>
      <c r="I227" s="16">
        <v>46032</v>
      </c>
      <c r="J227" s="16"/>
      <c r="K227" s="14" t="s">
        <v>1989</v>
      </c>
      <c r="L227" s="16">
        <f>IF(D227="Packaging","",IF(ISNUMBER(J227),J227,IF(ISNUMBER(I227),EDATE(I227,VLOOKUP(D227,Assumptions!$A$10:$B$16,2,0)),"")))</f>
        <v>46397</v>
      </c>
      <c r="M227" s="14">
        <f>IF(ISNUMBER(L227),L227-Assumptions!$B$5,"")</f>
        <v>375</v>
      </c>
      <c r="N227" s="17">
        <f t="shared" si="18"/>
        <v>0</v>
      </c>
      <c r="O227" s="14">
        <f>IF(COUNTIF(Assumptions!$A$25:$A$27,A227)&gt;0,1,0)</f>
        <v>0</v>
      </c>
      <c r="P227" s="14">
        <f>IF(COUNTIF(Assumptions!$B$25:$B$26,A227)&gt;0,1,0)</f>
        <v>0</v>
      </c>
      <c r="Q227" s="14">
        <f>IF(COUNTIF(Assumptions!$C$25:$C$25,A227)&gt;0,1,0)</f>
        <v>0</v>
      </c>
      <c r="R227" s="17">
        <f t="shared" si="19"/>
        <v>0</v>
      </c>
      <c r="S227" s="15" t="str">
        <f>IFERROR(VLOOKUP(A227,Assumptions!$A$31:$B$33,2,0),"")</f>
        <v/>
      </c>
      <c r="T227" s="15">
        <f t="shared" si="20"/>
        <v>55.66</v>
      </c>
      <c r="U227" s="15">
        <f t="shared" si="21"/>
        <v>254477.52</v>
      </c>
      <c r="V227" s="15">
        <f t="shared" si="22"/>
        <v>254477.52</v>
      </c>
      <c r="W227" s="15">
        <f t="shared" si="23"/>
        <v>0</v>
      </c>
    </row>
    <row r="228" spans="1:23" ht="15" customHeight="1" x14ac:dyDescent="0.2">
      <c r="A228" s="14" t="s">
        <v>2372</v>
      </c>
      <c r="B228" s="14" t="s">
        <v>2373</v>
      </c>
      <c r="C228" s="14" t="s">
        <v>1426</v>
      </c>
      <c r="D228" s="14" t="s">
        <v>44</v>
      </c>
      <c r="E228" s="14" t="s">
        <v>2037</v>
      </c>
      <c r="F228" s="14">
        <v>1844</v>
      </c>
      <c r="G228" s="15">
        <v>327.69</v>
      </c>
      <c r="H228" s="16">
        <v>45938</v>
      </c>
      <c r="I228" s="16">
        <v>45903</v>
      </c>
      <c r="J228" s="16"/>
      <c r="K228" s="14" t="s">
        <v>2004</v>
      </c>
      <c r="L228" s="16">
        <f>IF(D228="Packaging","",IF(ISNUMBER(J228),J228,IF(ISNUMBER(I228),EDATE(I228,VLOOKUP(D228,Assumptions!$A$10:$B$16,2,0)),"")))</f>
        <v>46449</v>
      </c>
      <c r="M228" s="14">
        <f>IF(ISNUMBER(L228),L228-Assumptions!$B$5,"")</f>
        <v>427</v>
      </c>
      <c r="N228" s="17">
        <f t="shared" si="18"/>
        <v>0</v>
      </c>
      <c r="O228" s="14">
        <f>IF(COUNTIF(Assumptions!$A$25:$A$27,A228)&gt;0,1,0)</f>
        <v>0</v>
      </c>
      <c r="P228" s="14">
        <f>IF(COUNTIF(Assumptions!$B$25:$B$26,A228)&gt;0,1,0)</f>
        <v>0</v>
      </c>
      <c r="Q228" s="14">
        <f>IF(COUNTIF(Assumptions!$C$25:$C$25,A228)&gt;0,1,0)</f>
        <v>0</v>
      </c>
      <c r="R228" s="17">
        <f t="shared" si="19"/>
        <v>0</v>
      </c>
      <c r="S228" s="15" t="str">
        <f>IFERROR(VLOOKUP(A228,Assumptions!$A$31:$B$33,2,0),"")</f>
        <v/>
      </c>
      <c r="T228" s="15">
        <f t="shared" si="20"/>
        <v>327.69</v>
      </c>
      <c r="U228" s="15">
        <f t="shared" si="21"/>
        <v>604260.36</v>
      </c>
      <c r="V228" s="15">
        <f t="shared" si="22"/>
        <v>604260.36</v>
      </c>
      <c r="W228" s="15">
        <f t="shared" si="23"/>
        <v>0</v>
      </c>
    </row>
    <row r="229" spans="1:23" ht="15" customHeight="1" x14ac:dyDescent="0.2">
      <c r="A229" s="14" t="s">
        <v>2374</v>
      </c>
      <c r="B229" s="14" t="s">
        <v>2375</v>
      </c>
      <c r="C229" s="14" t="s">
        <v>2046</v>
      </c>
      <c r="D229" s="14" t="s">
        <v>42</v>
      </c>
      <c r="E229" s="14" t="s">
        <v>1993</v>
      </c>
      <c r="F229" s="14">
        <v>2506</v>
      </c>
      <c r="G229" s="15">
        <v>220.78</v>
      </c>
      <c r="H229" s="16">
        <v>45988</v>
      </c>
      <c r="I229" s="16">
        <v>46376</v>
      </c>
      <c r="J229" s="16">
        <v>46741</v>
      </c>
      <c r="K229" s="14" t="s">
        <v>1989</v>
      </c>
      <c r="L229" s="16">
        <f>IF(D229="Packaging","",IF(ISNUMBER(J229),J229,IF(ISNUMBER(I229),EDATE(I229,VLOOKUP(D229,Assumptions!$A$10:$B$16,2,0)),"")))</f>
        <v>46741</v>
      </c>
      <c r="M229" s="14">
        <f>IF(ISNUMBER(L229),L229-Assumptions!$B$5,"")</f>
        <v>719</v>
      </c>
      <c r="N229" s="17">
        <f t="shared" si="18"/>
        <v>0</v>
      </c>
      <c r="O229" s="14">
        <f>IF(COUNTIF(Assumptions!$A$25:$A$27,A229)&gt;0,1,0)</f>
        <v>0</v>
      </c>
      <c r="P229" s="14">
        <f>IF(COUNTIF(Assumptions!$B$25:$B$26,A229)&gt;0,1,0)</f>
        <v>0</v>
      </c>
      <c r="Q229" s="14">
        <f>IF(COUNTIF(Assumptions!$C$25:$C$25,A229)&gt;0,1,0)</f>
        <v>0</v>
      </c>
      <c r="R229" s="17">
        <f t="shared" si="19"/>
        <v>0</v>
      </c>
      <c r="S229" s="15" t="str">
        <f>IFERROR(VLOOKUP(A229,Assumptions!$A$31:$B$33,2,0),"")</f>
        <v/>
      </c>
      <c r="T229" s="15">
        <f t="shared" si="20"/>
        <v>220.78</v>
      </c>
      <c r="U229" s="15">
        <f t="shared" si="21"/>
        <v>553274.68000000005</v>
      </c>
      <c r="V229" s="15">
        <f t="shared" si="22"/>
        <v>553274.68000000005</v>
      </c>
      <c r="W229" s="15">
        <f t="shared" si="23"/>
        <v>0</v>
      </c>
    </row>
    <row r="230" spans="1:23" ht="15" customHeight="1" x14ac:dyDescent="0.2">
      <c r="A230" s="14" t="s">
        <v>2376</v>
      </c>
      <c r="B230" s="14" t="s">
        <v>2377</v>
      </c>
      <c r="C230" s="14" t="s">
        <v>2137</v>
      </c>
      <c r="D230" s="14" t="s">
        <v>36</v>
      </c>
      <c r="E230" s="14" t="s">
        <v>2014</v>
      </c>
      <c r="F230" s="14">
        <v>1236</v>
      </c>
      <c r="G230" s="15">
        <v>365.83</v>
      </c>
      <c r="H230" s="16">
        <v>45505</v>
      </c>
      <c r="I230" s="16">
        <v>45434</v>
      </c>
      <c r="J230" s="16">
        <v>46164</v>
      </c>
      <c r="K230" s="14" t="s">
        <v>2030</v>
      </c>
      <c r="L230" s="16">
        <f>IF(D230="Packaging","",IF(ISNUMBER(J230),J230,IF(ISNUMBER(I230),EDATE(I230,VLOOKUP(D230,Assumptions!$A$10:$B$16,2,0)),"")))</f>
        <v>46164</v>
      </c>
      <c r="M230" s="14">
        <f>IF(ISNUMBER(L230),L230-Assumptions!$B$5,"")</f>
        <v>142</v>
      </c>
      <c r="N230" s="17">
        <f t="shared" si="18"/>
        <v>0.25</v>
      </c>
      <c r="O230" s="14">
        <f>IF(COUNTIF(Assumptions!$A$25:$A$27,A230)&gt;0,1,0)</f>
        <v>0</v>
      </c>
      <c r="P230" s="14">
        <f>IF(COUNTIF(Assumptions!$B$25:$B$26,A230)&gt;0,1,0)</f>
        <v>0</v>
      </c>
      <c r="Q230" s="14">
        <f>IF(COUNTIF(Assumptions!$C$25:$C$25,A230)&gt;0,1,0)</f>
        <v>0</v>
      </c>
      <c r="R230" s="17">
        <f t="shared" si="19"/>
        <v>0.25</v>
      </c>
      <c r="S230" s="15" t="str">
        <f>IFERROR(VLOOKUP(A230,Assumptions!$A$31:$B$33,2,0),"")</f>
        <v/>
      </c>
      <c r="T230" s="15">
        <f t="shared" si="20"/>
        <v>365.83</v>
      </c>
      <c r="U230" s="15">
        <f t="shared" si="21"/>
        <v>452165.88</v>
      </c>
      <c r="V230" s="15">
        <f t="shared" si="22"/>
        <v>339124.41000000003</v>
      </c>
      <c r="W230" s="15">
        <f t="shared" si="23"/>
        <v>113041.46999999997</v>
      </c>
    </row>
    <row r="231" spans="1:23" ht="15" customHeight="1" x14ac:dyDescent="0.2">
      <c r="A231" s="14" t="s">
        <v>411</v>
      </c>
      <c r="B231" s="14" t="s">
        <v>410</v>
      </c>
      <c r="C231" s="14" t="s">
        <v>1435</v>
      </c>
      <c r="D231" s="14" t="s">
        <v>36</v>
      </c>
      <c r="E231" s="14" t="s">
        <v>1988</v>
      </c>
      <c r="F231" s="14">
        <v>1799</v>
      </c>
      <c r="G231" s="15">
        <v>256.47000000000003</v>
      </c>
      <c r="H231" s="16">
        <v>45643</v>
      </c>
      <c r="I231" s="16">
        <v>45563</v>
      </c>
      <c r="J231" s="16"/>
      <c r="K231" s="14" t="s">
        <v>2030</v>
      </c>
      <c r="L231" s="16">
        <f>IF(D231="Packaging","",IF(ISNUMBER(J231),J231,IF(ISNUMBER(I231),EDATE(I231,VLOOKUP(D231,Assumptions!$A$10:$B$16,2,0)),"")))</f>
        <v>46293</v>
      </c>
      <c r="M231" s="14">
        <f>IF(ISNUMBER(L231),L231-Assumptions!$B$5,"")</f>
        <v>271</v>
      </c>
      <c r="N231" s="17">
        <f t="shared" si="18"/>
        <v>0</v>
      </c>
      <c r="O231" s="14">
        <f>IF(COUNTIF(Assumptions!$A$25:$A$27,A231)&gt;0,1,0)</f>
        <v>0</v>
      </c>
      <c r="P231" s="14">
        <f>IF(COUNTIF(Assumptions!$B$25:$B$26,A231)&gt;0,1,0)</f>
        <v>0</v>
      </c>
      <c r="Q231" s="14">
        <f>IF(COUNTIF(Assumptions!$C$25:$C$25,A231)&gt;0,1,0)</f>
        <v>0</v>
      </c>
      <c r="R231" s="17">
        <f t="shared" si="19"/>
        <v>0</v>
      </c>
      <c r="S231" s="15" t="str">
        <f>IFERROR(VLOOKUP(A231,Assumptions!$A$31:$B$33,2,0),"")</f>
        <v/>
      </c>
      <c r="T231" s="15">
        <f t="shared" si="20"/>
        <v>256.47000000000003</v>
      </c>
      <c r="U231" s="15">
        <f t="shared" si="21"/>
        <v>461389.53</v>
      </c>
      <c r="V231" s="15">
        <f t="shared" si="22"/>
        <v>461389.53</v>
      </c>
      <c r="W231" s="15">
        <f t="shared" si="23"/>
        <v>0</v>
      </c>
    </row>
    <row r="232" spans="1:23" ht="15" customHeight="1" x14ac:dyDescent="0.2">
      <c r="A232" s="14" t="s">
        <v>2378</v>
      </c>
      <c r="B232" s="14" t="s">
        <v>2379</v>
      </c>
      <c r="C232" s="14" t="s">
        <v>2003</v>
      </c>
      <c r="D232" s="14" t="s">
        <v>46</v>
      </c>
      <c r="E232" s="14" t="s">
        <v>2014</v>
      </c>
      <c r="F232" s="14">
        <v>956</v>
      </c>
      <c r="G232" s="15">
        <v>97.46</v>
      </c>
      <c r="H232" s="16">
        <v>46011</v>
      </c>
      <c r="I232" s="16">
        <v>46561</v>
      </c>
      <c r="J232" s="16">
        <v>46835</v>
      </c>
      <c r="K232" s="14" t="s">
        <v>2021</v>
      </c>
      <c r="L232" s="16">
        <f>IF(D232="Packaging","",IF(ISNUMBER(J232),J232,IF(ISNUMBER(I232),EDATE(I232,VLOOKUP(D232,Assumptions!$A$10:$B$16,2,0)),"")))</f>
        <v>46835</v>
      </c>
      <c r="M232" s="14">
        <f>IF(ISNUMBER(L232),L232-Assumptions!$B$5,"")</f>
        <v>813</v>
      </c>
      <c r="N232" s="17">
        <f t="shared" si="18"/>
        <v>0</v>
      </c>
      <c r="O232" s="14">
        <f>IF(COUNTIF(Assumptions!$A$25:$A$27,A232)&gt;0,1,0)</f>
        <v>0</v>
      </c>
      <c r="P232" s="14">
        <f>IF(COUNTIF(Assumptions!$B$25:$B$26,A232)&gt;0,1,0)</f>
        <v>0</v>
      </c>
      <c r="Q232" s="14">
        <f>IF(COUNTIF(Assumptions!$C$25:$C$25,A232)&gt;0,1,0)</f>
        <v>0</v>
      </c>
      <c r="R232" s="17">
        <f t="shared" si="19"/>
        <v>0</v>
      </c>
      <c r="S232" s="15" t="str">
        <f>IFERROR(VLOOKUP(A232,Assumptions!$A$31:$B$33,2,0),"")</f>
        <v/>
      </c>
      <c r="T232" s="15">
        <f t="shared" si="20"/>
        <v>97.46</v>
      </c>
      <c r="U232" s="15">
        <f t="shared" si="21"/>
        <v>93171.76</v>
      </c>
      <c r="V232" s="15">
        <f t="shared" si="22"/>
        <v>93171.76</v>
      </c>
      <c r="W232" s="15">
        <f t="shared" si="23"/>
        <v>0</v>
      </c>
    </row>
    <row r="233" spans="1:23" ht="15" customHeight="1" x14ac:dyDescent="0.2">
      <c r="A233" s="14" t="s">
        <v>2380</v>
      </c>
      <c r="B233" s="14" t="s">
        <v>2381</v>
      </c>
      <c r="C233" s="14" t="s">
        <v>2046</v>
      </c>
      <c r="D233" s="14" t="s">
        <v>42</v>
      </c>
      <c r="E233" s="14" t="s">
        <v>1988</v>
      </c>
      <c r="F233" s="14">
        <v>3051</v>
      </c>
      <c r="G233" s="15">
        <v>385.43</v>
      </c>
      <c r="H233" s="16">
        <v>46007</v>
      </c>
      <c r="I233" s="16">
        <v>46014</v>
      </c>
      <c r="J233" s="16">
        <v>46379</v>
      </c>
      <c r="K233" s="14" t="s">
        <v>2052</v>
      </c>
      <c r="L233" s="16">
        <f>IF(D233="Packaging","",IF(ISNUMBER(J233),J233,IF(ISNUMBER(I233),EDATE(I233,VLOOKUP(D233,Assumptions!$A$10:$B$16,2,0)),"")))</f>
        <v>46379</v>
      </c>
      <c r="M233" s="14">
        <f>IF(ISNUMBER(L233),L233-Assumptions!$B$5,"")</f>
        <v>357</v>
      </c>
      <c r="N233" s="17">
        <f t="shared" si="18"/>
        <v>0</v>
      </c>
      <c r="O233" s="14">
        <f>IF(COUNTIF(Assumptions!$A$25:$A$27,A233)&gt;0,1,0)</f>
        <v>0</v>
      </c>
      <c r="P233" s="14">
        <f>IF(COUNTIF(Assumptions!$B$25:$B$26,A233)&gt;0,1,0)</f>
        <v>0</v>
      </c>
      <c r="Q233" s="14">
        <f>IF(COUNTIF(Assumptions!$C$25:$C$25,A233)&gt;0,1,0)</f>
        <v>0</v>
      </c>
      <c r="R233" s="17">
        <f t="shared" si="19"/>
        <v>0</v>
      </c>
      <c r="S233" s="15" t="str">
        <f>IFERROR(VLOOKUP(A233,Assumptions!$A$31:$B$33,2,0),"")</f>
        <v/>
      </c>
      <c r="T233" s="15">
        <f t="shared" si="20"/>
        <v>385.43</v>
      </c>
      <c r="U233" s="15">
        <f t="shared" si="21"/>
        <v>1175946.93</v>
      </c>
      <c r="V233" s="15">
        <f t="shared" si="22"/>
        <v>1175946.93</v>
      </c>
      <c r="W233" s="15">
        <f t="shared" si="23"/>
        <v>0</v>
      </c>
    </row>
    <row r="234" spans="1:23" ht="15" customHeight="1" x14ac:dyDescent="0.2">
      <c r="A234" s="14" t="s">
        <v>2382</v>
      </c>
      <c r="B234" s="14" t="s">
        <v>2383</v>
      </c>
      <c r="C234" s="14" t="s">
        <v>2010</v>
      </c>
      <c r="D234" s="14" t="s">
        <v>46</v>
      </c>
      <c r="E234" s="14" t="s">
        <v>2014</v>
      </c>
      <c r="F234" s="14">
        <v>4031</v>
      </c>
      <c r="G234" s="15">
        <v>26.95</v>
      </c>
      <c r="H234" s="16">
        <v>45999</v>
      </c>
      <c r="I234" s="16">
        <v>46468</v>
      </c>
      <c r="J234" s="16">
        <v>46743</v>
      </c>
      <c r="K234" s="14" t="s">
        <v>1989</v>
      </c>
      <c r="L234" s="16">
        <f>IF(D234="Packaging","",IF(ISNUMBER(J234),J234,IF(ISNUMBER(I234),EDATE(I234,VLOOKUP(D234,Assumptions!$A$10:$B$16,2,0)),"")))</f>
        <v>46743</v>
      </c>
      <c r="M234" s="14">
        <f>IF(ISNUMBER(L234),L234-Assumptions!$B$5,"")</f>
        <v>721</v>
      </c>
      <c r="N234" s="17">
        <f t="shared" si="18"/>
        <v>0</v>
      </c>
      <c r="O234" s="14">
        <f>IF(COUNTIF(Assumptions!$A$25:$A$27,A234)&gt;0,1,0)</f>
        <v>0</v>
      </c>
      <c r="P234" s="14">
        <f>IF(COUNTIF(Assumptions!$B$25:$B$26,A234)&gt;0,1,0)</f>
        <v>0</v>
      </c>
      <c r="Q234" s="14">
        <f>IF(COUNTIF(Assumptions!$C$25:$C$25,A234)&gt;0,1,0)</f>
        <v>0</v>
      </c>
      <c r="R234" s="17">
        <f t="shared" si="19"/>
        <v>0</v>
      </c>
      <c r="S234" s="15" t="str">
        <f>IFERROR(VLOOKUP(A234,Assumptions!$A$31:$B$33,2,0),"")</f>
        <v/>
      </c>
      <c r="T234" s="15">
        <f t="shared" si="20"/>
        <v>26.95</v>
      </c>
      <c r="U234" s="15">
        <f t="shared" si="21"/>
        <v>108635.45</v>
      </c>
      <c r="V234" s="15">
        <f t="shared" si="22"/>
        <v>108635.45</v>
      </c>
      <c r="W234" s="15">
        <f t="shared" si="23"/>
        <v>0</v>
      </c>
    </row>
    <row r="235" spans="1:23" ht="15" customHeight="1" x14ac:dyDescent="0.2">
      <c r="A235" s="14" t="s">
        <v>2384</v>
      </c>
      <c r="B235" s="14" t="s">
        <v>2385</v>
      </c>
      <c r="C235" s="14" t="s">
        <v>2010</v>
      </c>
      <c r="D235" s="14" t="s">
        <v>46</v>
      </c>
      <c r="E235" s="14" t="s">
        <v>2014</v>
      </c>
      <c r="F235" s="14">
        <v>1777</v>
      </c>
      <c r="G235" s="15">
        <v>25.89</v>
      </c>
      <c r="H235" s="16">
        <v>45972</v>
      </c>
      <c r="I235" s="16">
        <v>46505</v>
      </c>
      <c r="J235" s="16"/>
      <c r="K235" s="14" t="s">
        <v>2030</v>
      </c>
      <c r="L235" s="16">
        <f>IF(D235="Packaging","",IF(ISNUMBER(J235),J235,IF(ISNUMBER(I235),EDATE(I235,VLOOKUP(D235,Assumptions!$A$10:$B$16,2,0)),"")))</f>
        <v>46780</v>
      </c>
      <c r="M235" s="14">
        <f>IF(ISNUMBER(L235),L235-Assumptions!$B$5,"")</f>
        <v>758</v>
      </c>
      <c r="N235" s="17">
        <f t="shared" si="18"/>
        <v>0</v>
      </c>
      <c r="O235" s="14">
        <f>IF(COUNTIF(Assumptions!$A$25:$A$27,A235)&gt;0,1,0)</f>
        <v>0</v>
      </c>
      <c r="P235" s="14">
        <f>IF(COUNTIF(Assumptions!$B$25:$B$26,A235)&gt;0,1,0)</f>
        <v>0</v>
      </c>
      <c r="Q235" s="14">
        <f>IF(COUNTIF(Assumptions!$C$25:$C$25,A235)&gt;0,1,0)</f>
        <v>0</v>
      </c>
      <c r="R235" s="17">
        <f t="shared" si="19"/>
        <v>0</v>
      </c>
      <c r="S235" s="15" t="str">
        <f>IFERROR(VLOOKUP(A235,Assumptions!$A$31:$B$33,2,0),"")</f>
        <v/>
      </c>
      <c r="T235" s="15">
        <f t="shared" si="20"/>
        <v>25.89</v>
      </c>
      <c r="U235" s="15">
        <f t="shared" si="21"/>
        <v>46006.53</v>
      </c>
      <c r="V235" s="15">
        <f t="shared" si="22"/>
        <v>46006.53</v>
      </c>
      <c r="W235" s="15">
        <f t="shared" si="23"/>
        <v>0</v>
      </c>
    </row>
    <row r="236" spans="1:23" ht="15" customHeight="1" x14ac:dyDescent="0.2">
      <c r="A236" s="14" t="s">
        <v>2386</v>
      </c>
      <c r="B236" s="14" t="s">
        <v>2387</v>
      </c>
      <c r="C236" s="14" t="s">
        <v>2049</v>
      </c>
      <c r="D236" s="14" t="s">
        <v>42</v>
      </c>
      <c r="E236" s="14" t="s">
        <v>2037</v>
      </c>
      <c r="F236" s="14">
        <v>933</v>
      </c>
      <c r="G236" s="15">
        <v>18.43</v>
      </c>
      <c r="H236" s="16">
        <v>45984</v>
      </c>
      <c r="I236" s="16">
        <v>46158</v>
      </c>
      <c r="J236" s="16">
        <v>46523</v>
      </c>
      <c r="K236" s="14" t="s">
        <v>1994</v>
      </c>
      <c r="L236" s="16">
        <f>IF(D236="Packaging","",IF(ISNUMBER(J236),J236,IF(ISNUMBER(I236),EDATE(I236,VLOOKUP(D236,Assumptions!$A$10:$B$16,2,0)),"")))</f>
        <v>46523</v>
      </c>
      <c r="M236" s="14">
        <f>IF(ISNUMBER(L236),L236-Assumptions!$B$5,"")</f>
        <v>501</v>
      </c>
      <c r="N236" s="17">
        <f t="shared" si="18"/>
        <v>0</v>
      </c>
      <c r="O236" s="14">
        <f>IF(COUNTIF(Assumptions!$A$25:$A$27,A236)&gt;0,1,0)</f>
        <v>0</v>
      </c>
      <c r="P236" s="14">
        <f>IF(COUNTIF(Assumptions!$B$25:$B$26,A236)&gt;0,1,0)</f>
        <v>0</v>
      </c>
      <c r="Q236" s="14">
        <f>IF(COUNTIF(Assumptions!$C$25:$C$25,A236)&gt;0,1,0)</f>
        <v>0</v>
      </c>
      <c r="R236" s="17">
        <f t="shared" si="19"/>
        <v>0</v>
      </c>
      <c r="S236" s="15" t="str">
        <f>IFERROR(VLOOKUP(A236,Assumptions!$A$31:$B$33,2,0),"")</f>
        <v/>
      </c>
      <c r="T236" s="15">
        <f t="shared" si="20"/>
        <v>18.43</v>
      </c>
      <c r="U236" s="15">
        <f t="shared" si="21"/>
        <v>17195.189999999999</v>
      </c>
      <c r="V236" s="15">
        <f t="shared" si="22"/>
        <v>17195.189999999999</v>
      </c>
      <c r="W236" s="15">
        <f t="shared" si="23"/>
        <v>0</v>
      </c>
    </row>
    <row r="237" spans="1:23" ht="15" customHeight="1" x14ac:dyDescent="0.2">
      <c r="A237" s="14" t="s">
        <v>2388</v>
      </c>
      <c r="B237" s="14" t="s">
        <v>2389</v>
      </c>
      <c r="C237" s="14" t="s">
        <v>2007</v>
      </c>
      <c r="D237" s="14" t="s">
        <v>47</v>
      </c>
      <c r="E237" s="14" t="s">
        <v>1988</v>
      </c>
      <c r="F237" s="14">
        <v>4810</v>
      </c>
      <c r="G237" s="15">
        <v>227.37</v>
      </c>
      <c r="H237" s="16">
        <v>45801</v>
      </c>
      <c r="I237" s="16">
        <v>45762</v>
      </c>
      <c r="J237" s="16"/>
      <c r="K237" s="14" t="s">
        <v>2004</v>
      </c>
      <c r="L237" s="16" t="str">
        <f>IF(D237="Packaging","",IF(ISNUMBER(J237),J237,IF(ISNUMBER(I237),EDATE(I237,VLOOKUP(D237,Assumptions!$A$10:$B$16,2,0)),"")))</f>
        <v/>
      </c>
      <c r="M237" s="14" t="str">
        <f>IF(ISNUMBER(L237),L237-Assumptions!$B$5,"")</f>
        <v/>
      </c>
      <c r="N237" s="17">
        <f t="shared" si="18"/>
        <v>0</v>
      </c>
      <c r="O237" s="14">
        <f>IF(COUNTIF(Assumptions!$A$25:$A$27,A237)&gt;0,1,0)</f>
        <v>0</v>
      </c>
      <c r="P237" s="14">
        <f>IF(COUNTIF(Assumptions!$B$25:$B$26,A237)&gt;0,1,0)</f>
        <v>0</v>
      </c>
      <c r="Q237" s="14">
        <f>IF(COUNTIF(Assumptions!$C$25:$C$25,A237)&gt;0,1,0)</f>
        <v>0</v>
      </c>
      <c r="R237" s="17">
        <f t="shared" si="19"/>
        <v>0</v>
      </c>
      <c r="S237" s="15" t="str">
        <f>IFERROR(VLOOKUP(A237,Assumptions!$A$31:$B$33,2,0),"")</f>
        <v/>
      </c>
      <c r="T237" s="15">
        <f t="shared" si="20"/>
        <v>227.37</v>
      </c>
      <c r="U237" s="15">
        <f t="shared" si="21"/>
        <v>1093649.7</v>
      </c>
      <c r="V237" s="15">
        <f t="shared" si="22"/>
        <v>1093649.7</v>
      </c>
      <c r="W237" s="15">
        <f t="shared" si="23"/>
        <v>0</v>
      </c>
    </row>
    <row r="238" spans="1:23" ht="15" customHeight="1" x14ac:dyDescent="0.2">
      <c r="A238" s="14" t="s">
        <v>2390</v>
      </c>
      <c r="B238" s="14" t="s">
        <v>2391</v>
      </c>
      <c r="C238" s="14" t="s">
        <v>2076</v>
      </c>
      <c r="D238" s="14" t="s">
        <v>45</v>
      </c>
      <c r="E238" s="14" t="s">
        <v>1993</v>
      </c>
      <c r="F238" s="14">
        <v>3841</v>
      </c>
      <c r="G238" s="15">
        <v>18.23</v>
      </c>
      <c r="H238" s="16">
        <v>46002</v>
      </c>
      <c r="I238" s="16">
        <v>46452</v>
      </c>
      <c r="J238" s="16"/>
      <c r="K238" s="14" t="s">
        <v>2030</v>
      </c>
      <c r="L238" s="16">
        <f>IF(D238="Packaging","",IF(ISNUMBER(J238),J238,IF(ISNUMBER(I238),EDATE(I238,VLOOKUP(D238,Assumptions!$A$10:$B$16,2,0)),"")))</f>
        <v>46636</v>
      </c>
      <c r="M238" s="14">
        <f>IF(ISNUMBER(L238),L238-Assumptions!$B$5,"")</f>
        <v>614</v>
      </c>
      <c r="N238" s="17">
        <f t="shared" si="18"/>
        <v>0</v>
      </c>
      <c r="O238" s="14">
        <f>IF(COUNTIF(Assumptions!$A$25:$A$27,A238)&gt;0,1,0)</f>
        <v>0</v>
      </c>
      <c r="P238" s="14">
        <f>IF(COUNTIF(Assumptions!$B$25:$B$26,A238)&gt;0,1,0)</f>
        <v>0</v>
      </c>
      <c r="Q238" s="14">
        <f>IF(COUNTIF(Assumptions!$C$25:$C$25,A238)&gt;0,1,0)</f>
        <v>0</v>
      </c>
      <c r="R238" s="17">
        <f t="shared" si="19"/>
        <v>0</v>
      </c>
      <c r="S238" s="15" t="str">
        <f>IFERROR(VLOOKUP(A238,Assumptions!$A$31:$B$33,2,0),"")</f>
        <v/>
      </c>
      <c r="T238" s="15">
        <f t="shared" si="20"/>
        <v>18.23</v>
      </c>
      <c r="U238" s="15">
        <f t="shared" si="21"/>
        <v>70021.430000000008</v>
      </c>
      <c r="V238" s="15">
        <f t="shared" si="22"/>
        <v>70021.430000000008</v>
      </c>
      <c r="W238" s="15">
        <f t="shared" si="23"/>
        <v>0</v>
      </c>
    </row>
    <row r="239" spans="1:23" ht="15" customHeight="1" x14ac:dyDescent="0.2">
      <c r="A239" s="14" t="s">
        <v>415</v>
      </c>
      <c r="B239" s="14" t="s">
        <v>414</v>
      </c>
      <c r="C239" s="14" t="s">
        <v>1435</v>
      </c>
      <c r="D239" s="14" t="s">
        <v>36</v>
      </c>
      <c r="E239" s="14" t="s">
        <v>2037</v>
      </c>
      <c r="F239" s="14">
        <v>4961</v>
      </c>
      <c r="G239" s="15">
        <v>317.17</v>
      </c>
      <c r="H239" s="16">
        <v>45799</v>
      </c>
      <c r="I239" s="16">
        <v>45715</v>
      </c>
      <c r="J239" s="16"/>
      <c r="K239" s="14" t="s">
        <v>1994</v>
      </c>
      <c r="L239" s="16">
        <f>IF(D239="Packaging","",IF(ISNUMBER(J239),J239,IF(ISNUMBER(I239),EDATE(I239,VLOOKUP(D239,Assumptions!$A$10:$B$16,2,0)),"")))</f>
        <v>46445</v>
      </c>
      <c r="M239" s="14">
        <f>IF(ISNUMBER(L239),L239-Assumptions!$B$5,"")</f>
        <v>423</v>
      </c>
      <c r="N239" s="17">
        <f t="shared" si="18"/>
        <v>0</v>
      </c>
      <c r="O239" s="14">
        <f>IF(COUNTIF(Assumptions!$A$25:$A$27,A239)&gt;0,1,0)</f>
        <v>0</v>
      </c>
      <c r="P239" s="14">
        <f>IF(COUNTIF(Assumptions!$B$25:$B$26,A239)&gt;0,1,0)</f>
        <v>0</v>
      </c>
      <c r="Q239" s="14">
        <f>IF(COUNTIF(Assumptions!$C$25:$C$25,A239)&gt;0,1,0)</f>
        <v>0</v>
      </c>
      <c r="R239" s="17">
        <f t="shared" si="19"/>
        <v>0</v>
      </c>
      <c r="S239" s="15" t="str">
        <f>IFERROR(VLOOKUP(A239,Assumptions!$A$31:$B$33,2,0),"")</f>
        <v/>
      </c>
      <c r="T239" s="15">
        <f t="shared" si="20"/>
        <v>317.17</v>
      </c>
      <c r="U239" s="15">
        <f t="shared" si="21"/>
        <v>1573480.37</v>
      </c>
      <c r="V239" s="15">
        <f t="shared" si="22"/>
        <v>1573480.37</v>
      </c>
      <c r="W239" s="15">
        <f t="shared" si="23"/>
        <v>0</v>
      </c>
    </row>
    <row r="240" spans="1:23" ht="15" customHeight="1" x14ac:dyDescent="0.2">
      <c r="A240" s="14" t="s">
        <v>2392</v>
      </c>
      <c r="B240" s="14" t="s">
        <v>2393</v>
      </c>
      <c r="C240" s="14" t="s">
        <v>2010</v>
      </c>
      <c r="D240" s="14" t="s">
        <v>46</v>
      </c>
      <c r="E240" s="14" t="s">
        <v>2014</v>
      </c>
      <c r="F240" s="14">
        <v>3575</v>
      </c>
      <c r="G240" s="15">
        <v>139.72999999999999</v>
      </c>
      <c r="H240" s="16">
        <v>45971</v>
      </c>
      <c r="I240" s="16">
        <v>46544</v>
      </c>
      <c r="J240" s="16"/>
      <c r="K240" s="14" t="s">
        <v>2030</v>
      </c>
      <c r="L240" s="16">
        <f>IF(D240="Packaging","",IF(ISNUMBER(J240),J240,IF(ISNUMBER(I240),EDATE(I240,VLOOKUP(D240,Assumptions!$A$10:$B$16,2,0)),"")))</f>
        <v>46818</v>
      </c>
      <c r="M240" s="14">
        <f>IF(ISNUMBER(L240),L240-Assumptions!$B$5,"")</f>
        <v>796</v>
      </c>
      <c r="N240" s="17">
        <f t="shared" si="18"/>
        <v>0</v>
      </c>
      <c r="O240" s="14">
        <f>IF(COUNTIF(Assumptions!$A$25:$A$27,A240)&gt;0,1,0)</f>
        <v>0</v>
      </c>
      <c r="P240" s="14">
        <f>IF(COUNTIF(Assumptions!$B$25:$B$26,A240)&gt;0,1,0)</f>
        <v>0</v>
      </c>
      <c r="Q240" s="14">
        <f>IF(COUNTIF(Assumptions!$C$25:$C$25,A240)&gt;0,1,0)</f>
        <v>0</v>
      </c>
      <c r="R240" s="17">
        <f t="shared" si="19"/>
        <v>0</v>
      </c>
      <c r="S240" s="15" t="str">
        <f>IFERROR(VLOOKUP(A240,Assumptions!$A$31:$B$33,2,0),"")</f>
        <v/>
      </c>
      <c r="T240" s="15">
        <f t="shared" si="20"/>
        <v>139.72999999999999</v>
      </c>
      <c r="U240" s="15">
        <f t="shared" si="21"/>
        <v>499534.74999999994</v>
      </c>
      <c r="V240" s="15">
        <f t="shared" si="22"/>
        <v>499534.74999999994</v>
      </c>
      <c r="W240" s="15">
        <f t="shared" si="23"/>
        <v>0</v>
      </c>
    </row>
    <row r="241" spans="1:23" ht="15" customHeight="1" x14ac:dyDescent="0.2">
      <c r="A241" s="14" t="s">
        <v>2394</v>
      </c>
      <c r="B241" s="14" t="s">
        <v>2395</v>
      </c>
      <c r="C241" s="14" t="s">
        <v>1997</v>
      </c>
      <c r="D241" s="14" t="s">
        <v>45</v>
      </c>
      <c r="E241" s="14" t="s">
        <v>1993</v>
      </c>
      <c r="F241" s="14">
        <v>130</v>
      </c>
      <c r="G241" s="15">
        <v>83.5</v>
      </c>
      <c r="H241" s="16">
        <v>45995</v>
      </c>
      <c r="I241" s="16">
        <v>46224</v>
      </c>
      <c r="J241" s="16"/>
      <c r="K241" s="14" t="s">
        <v>2015</v>
      </c>
      <c r="L241" s="16">
        <f>IF(D241="Packaging","",IF(ISNUMBER(J241),J241,IF(ISNUMBER(I241),EDATE(I241,VLOOKUP(D241,Assumptions!$A$10:$B$16,2,0)),"")))</f>
        <v>46408</v>
      </c>
      <c r="M241" s="14">
        <f>IF(ISNUMBER(L241),L241-Assumptions!$B$5,"")</f>
        <v>386</v>
      </c>
      <c r="N241" s="17">
        <f t="shared" si="18"/>
        <v>0</v>
      </c>
      <c r="O241" s="14">
        <f>IF(COUNTIF(Assumptions!$A$25:$A$27,A241)&gt;0,1,0)</f>
        <v>0</v>
      </c>
      <c r="P241" s="14">
        <f>IF(COUNTIF(Assumptions!$B$25:$B$26,A241)&gt;0,1,0)</f>
        <v>0</v>
      </c>
      <c r="Q241" s="14">
        <f>IF(COUNTIF(Assumptions!$C$25:$C$25,A241)&gt;0,1,0)</f>
        <v>0</v>
      </c>
      <c r="R241" s="17">
        <f t="shared" si="19"/>
        <v>0</v>
      </c>
      <c r="S241" s="15" t="str">
        <f>IFERROR(VLOOKUP(A241,Assumptions!$A$31:$B$33,2,0),"")</f>
        <v/>
      </c>
      <c r="T241" s="15">
        <f t="shared" si="20"/>
        <v>83.5</v>
      </c>
      <c r="U241" s="15">
        <f t="shared" si="21"/>
        <v>10855</v>
      </c>
      <c r="V241" s="15">
        <f t="shared" si="22"/>
        <v>10855</v>
      </c>
      <c r="W241" s="15">
        <f t="shared" si="23"/>
        <v>0</v>
      </c>
    </row>
    <row r="242" spans="1:23" ht="15" customHeight="1" x14ac:dyDescent="0.2">
      <c r="A242" s="14" t="s">
        <v>2396</v>
      </c>
      <c r="B242" s="14" t="s">
        <v>2250</v>
      </c>
      <c r="C242" s="14" t="s">
        <v>1997</v>
      </c>
      <c r="D242" s="14" t="s">
        <v>45</v>
      </c>
      <c r="E242" s="14" t="s">
        <v>1993</v>
      </c>
      <c r="F242" s="14">
        <v>751</v>
      </c>
      <c r="G242" s="15">
        <v>103.28</v>
      </c>
      <c r="H242" s="16">
        <v>45976</v>
      </c>
      <c r="I242" s="16">
        <v>46167</v>
      </c>
      <c r="J242" s="16"/>
      <c r="K242" s="14" t="s">
        <v>2021</v>
      </c>
      <c r="L242" s="16">
        <f>IF(D242="Packaging","",IF(ISNUMBER(J242),J242,IF(ISNUMBER(I242),EDATE(I242,VLOOKUP(D242,Assumptions!$A$10:$B$16,2,0)),"")))</f>
        <v>46351</v>
      </c>
      <c r="M242" s="14">
        <f>IF(ISNUMBER(L242),L242-Assumptions!$B$5,"")</f>
        <v>329</v>
      </c>
      <c r="N242" s="17">
        <f t="shared" si="18"/>
        <v>0</v>
      </c>
      <c r="O242" s="14">
        <f>IF(COUNTIF(Assumptions!$A$25:$A$27,A242)&gt;0,1,0)</f>
        <v>0</v>
      </c>
      <c r="P242" s="14">
        <f>IF(COUNTIF(Assumptions!$B$25:$B$26,A242)&gt;0,1,0)</f>
        <v>0</v>
      </c>
      <c r="Q242" s="14">
        <f>IF(COUNTIF(Assumptions!$C$25:$C$25,A242)&gt;0,1,0)</f>
        <v>0</v>
      </c>
      <c r="R242" s="17">
        <f t="shared" si="19"/>
        <v>0</v>
      </c>
      <c r="S242" s="15" t="str">
        <f>IFERROR(VLOOKUP(A242,Assumptions!$A$31:$B$33,2,0),"")</f>
        <v/>
      </c>
      <c r="T242" s="15">
        <f t="shared" si="20"/>
        <v>103.28</v>
      </c>
      <c r="U242" s="15">
        <f t="shared" si="21"/>
        <v>77563.28</v>
      </c>
      <c r="V242" s="15">
        <f t="shared" si="22"/>
        <v>77563.28</v>
      </c>
      <c r="W242" s="15">
        <f t="shared" si="23"/>
        <v>0</v>
      </c>
    </row>
    <row r="243" spans="1:23" ht="15" customHeight="1" x14ac:dyDescent="0.2">
      <c r="A243" s="14" t="s">
        <v>2397</v>
      </c>
      <c r="B243" s="14" t="s">
        <v>2398</v>
      </c>
      <c r="C243" s="14" t="s">
        <v>2046</v>
      </c>
      <c r="D243" s="14" t="s">
        <v>42</v>
      </c>
      <c r="E243" s="14" t="s">
        <v>1993</v>
      </c>
      <c r="F243" s="14">
        <v>1967</v>
      </c>
      <c r="G243" s="15">
        <v>236.71</v>
      </c>
      <c r="H243" s="16">
        <v>45984</v>
      </c>
      <c r="I243" s="16">
        <v>46205</v>
      </c>
      <c r="J243" s="16">
        <v>46570</v>
      </c>
      <c r="K243" s="14" t="s">
        <v>2004</v>
      </c>
      <c r="L243" s="16">
        <f>IF(D243="Packaging","",IF(ISNUMBER(J243),J243,IF(ISNUMBER(I243),EDATE(I243,VLOOKUP(D243,Assumptions!$A$10:$B$16,2,0)),"")))</f>
        <v>46570</v>
      </c>
      <c r="M243" s="14">
        <f>IF(ISNUMBER(L243),L243-Assumptions!$B$5,"")</f>
        <v>548</v>
      </c>
      <c r="N243" s="17">
        <f t="shared" si="18"/>
        <v>0</v>
      </c>
      <c r="O243" s="14">
        <f>IF(COUNTIF(Assumptions!$A$25:$A$27,A243)&gt;0,1,0)</f>
        <v>0</v>
      </c>
      <c r="P243" s="14">
        <f>IF(COUNTIF(Assumptions!$B$25:$B$26,A243)&gt;0,1,0)</f>
        <v>0</v>
      </c>
      <c r="Q243" s="14">
        <f>IF(COUNTIF(Assumptions!$C$25:$C$25,A243)&gt;0,1,0)</f>
        <v>0</v>
      </c>
      <c r="R243" s="17">
        <f t="shared" si="19"/>
        <v>0</v>
      </c>
      <c r="S243" s="15" t="str">
        <f>IFERROR(VLOOKUP(A243,Assumptions!$A$31:$B$33,2,0),"")</f>
        <v/>
      </c>
      <c r="T243" s="15">
        <f t="shared" si="20"/>
        <v>236.71</v>
      </c>
      <c r="U243" s="15">
        <f t="shared" si="21"/>
        <v>465608.57</v>
      </c>
      <c r="V243" s="15">
        <f t="shared" si="22"/>
        <v>465608.57</v>
      </c>
      <c r="W243" s="15">
        <f t="shared" si="23"/>
        <v>0</v>
      </c>
    </row>
    <row r="244" spans="1:23" ht="15" customHeight="1" x14ac:dyDescent="0.2">
      <c r="A244" s="14" t="s">
        <v>2399</v>
      </c>
      <c r="B244" s="14" t="s">
        <v>2400</v>
      </c>
      <c r="C244" s="14" t="s">
        <v>2018</v>
      </c>
      <c r="D244" s="14" t="s">
        <v>36</v>
      </c>
      <c r="E244" s="14" t="s">
        <v>1988</v>
      </c>
      <c r="F244" s="14">
        <v>2450</v>
      </c>
      <c r="G244" s="15">
        <v>28.25</v>
      </c>
      <c r="H244" s="16">
        <v>45974</v>
      </c>
      <c r="I244" s="16">
        <v>46060</v>
      </c>
      <c r="J244" s="16">
        <v>46790</v>
      </c>
      <c r="K244" s="14" t="s">
        <v>1989</v>
      </c>
      <c r="L244" s="16">
        <f>IF(D244="Packaging","",IF(ISNUMBER(J244),J244,IF(ISNUMBER(I244),EDATE(I244,VLOOKUP(D244,Assumptions!$A$10:$B$16,2,0)),"")))</f>
        <v>46790</v>
      </c>
      <c r="M244" s="14">
        <f>IF(ISNUMBER(L244),L244-Assumptions!$B$5,"")</f>
        <v>768</v>
      </c>
      <c r="N244" s="17">
        <f t="shared" si="18"/>
        <v>0</v>
      </c>
      <c r="O244" s="14">
        <f>IF(COUNTIF(Assumptions!$A$25:$A$27,A244)&gt;0,1,0)</f>
        <v>0</v>
      </c>
      <c r="P244" s="14">
        <f>IF(COUNTIF(Assumptions!$B$25:$B$26,A244)&gt;0,1,0)</f>
        <v>0</v>
      </c>
      <c r="Q244" s="14">
        <f>IF(COUNTIF(Assumptions!$C$25:$C$25,A244)&gt;0,1,0)</f>
        <v>0</v>
      </c>
      <c r="R244" s="17">
        <f t="shared" si="19"/>
        <v>0</v>
      </c>
      <c r="S244" s="15" t="str">
        <f>IFERROR(VLOOKUP(A244,Assumptions!$A$31:$B$33,2,0),"")</f>
        <v/>
      </c>
      <c r="T244" s="15">
        <f t="shared" si="20"/>
        <v>28.25</v>
      </c>
      <c r="U244" s="15">
        <f t="shared" si="21"/>
        <v>69212.5</v>
      </c>
      <c r="V244" s="15">
        <f t="shared" si="22"/>
        <v>69212.5</v>
      </c>
      <c r="W244" s="15">
        <f t="shared" si="23"/>
        <v>0</v>
      </c>
    </row>
    <row r="245" spans="1:23" ht="15" customHeight="1" x14ac:dyDescent="0.2">
      <c r="A245" s="14" t="s">
        <v>2401</v>
      </c>
      <c r="B245" s="14" t="s">
        <v>2402</v>
      </c>
      <c r="C245" s="14" t="s">
        <v>2094</v>
      </c>
      <c r="D245" s="14" t="s">
        <v>47</v>
      </c>
      <c r="E245" s="14" t="s">
        <v>2014</v>
      </c>
      <c r="F245" s="14">
        <v>1853</v>
      </c>
      <c r="G245" s="15">
        <v>415.21</v>
      </c>
      <c r="H245" s="16">
        <v>45644</v>
      </c>
      <c r="I245" s="16">
        <v>45590</v>
      </c>
      <c r="J245" s="16"/>
      <c r="K245" s="14" t="s">
        <v>2004</v>
      </c>
      <c r="L245" s="16" t="str">
        <f>IF(D245="Packaging","",IF(ISNUMBER(J245),J245,IF(ISNUMBER(I245),EDATE(I245,VLOOKUP(D245,Assumptions!$A$10:$B$16,2,0)),"")))</f>
        <v/>
      </c>
      <c r="M245" s="14" t="str">
        <f>IF(ISNUMBER(L245),L245-Assumptions!$B$5,"")</f>
        <v/>
      </c>
      <c r="N245" s="17">
        <f t="shared" si="18"/>
        <v>0</v>
      </c>
      <c r="O245" s="14">
        <f>IF(COUNTIF(Assumptions!$A$25:$A$27,A245)&gt;0,1,0)</f>
        <v>0</v>
      </c>
      <c r="P245" s="14">
        <f>IF(COUNTIF(Assumptions!$B$25:$B$26,A245)&gt;0,1,0)</f>
        <v>0</v>
      </c>
      <c r="Q245" s="14">
        <f>IF(COUNTIF(Assumptions!$C$25:$C$25,A245)&gt;0,1,0)</f>
        <v>0</v>
      </c>
      <c r="R245" s="17">
        <f t="shared" si="19"/>
        <v>0</v>
      </c>
      <c r="S245" s="15" t="str">
        <f>IFERROR(VLOOKUP(A245,Assumptions!$A$31:$B$33,2,0),"")</f>
        <v/>
      </c>
      <c r="T245" s="15">
        <f t="shared" si="20"/>
        <v>415.21</v>
      </c>
      <c r="U245" s="15">
        <f t="shared" si="21"/>
        <v>769384.13</v>
      </c>
      <c r="V245" s="15">
        <f t="shared" si="22"/>
        <v>769384.13</v>
      </c>
      <c r="W245" s="15">
        <f t="shared" si="23"/>
        <v>0</v>
      </c>
    </row>
    <row r="246" spans="1:23" ht="15" customHeight="1" x14ac:dyDescent="0.2">
      <c r="A246" s="14" t="s">
        <v>150</v>
      </c>
      <c r="B246" s="14" t="s">
        <v>149</v>
      </c>
      <c r="C246" s="14" t="s">
        <v>1426</v>
      </c>
      <c r="D246" s="14" t="s">
        <v>44</v>
      </c>
      <c r="E246" s="14" t="s">
        <v>1993</v>
      </c>
      <c r="F246" s="14">
        <v>3214</v>
      </c>
      <c r="G246" s="15">
        <v>415.69</v>
      </c>
      <c r="H246" s="16">
        <v>45846</v>
      </c>
      <c r="I246" s="16">
        <v>45836</v>
      </c>
      <c r="J246" s="16"/>
      <c r="K246" s="14" t="s">
        <v>2015</v>
      </c>
      <c r="L246" s="16">
        <f>IF(D246="Packaging","",IF(ISNUMBER(J246),J246,IF(ISNUMBER(I246),EDATE(I246,VLOOKUP(D246,Assumptions!$A$10:$B$16,2,0)),"")))</f>
        <v>46384</v>
      </c>
      <c r="M246" s="14">
        <f>IF(ISNUMBER(L246),L246-Assumptions!$B$5,"")</f>
        <v>362</v>
      </c>
      <c r="N246" s="17">
        <f t="shared" si="18"/>
        <v>0</v>
      </c>
      <c r="O246" s="14">
        <f>IF(COUNTIF(Assumptions!$A$25:$A$27,A246)&gt;0,1,0)</f>
        <v>0</v>
      </c>
      <c r="P246" s="14">
        <f>IF(COUNTIF(Assumptions!$B$25:$B$26,A246)&gt;0,1,0)</f>
        <v>0</v>
      </c>
      <c r="Q246" s="14">
        <f>IF(COUNTIF(Assumptions!$C$25:$C$25,A246)&gt;0,1,0)</f>
        <v>0</v>
      </c>
      <c r="R246" s="17">
        <f t="shared" si="19"/>
        <v>0</v>
      </c>
      <c r="S246" s="15" t="str">
        <f>IFERROR(VLOOKUP(A246,Assumptions!$A$31:$B$33,2,0),"")</f>
        <v/>
      </c>
      <c r="T246" s="15">
        <f t="shared" si="20"/>
        <v>415.69</v>
      </c>
      <c r="U246" s="15">
        <f t="shared" si="21"/>
        <v>1336027.6599999999</v>
      </c>
      <c r="V246" s="15">
        <f t="shared" si="22"/>
        <v>1336027.6599999999</v>
      </c>
      <c r="W246" s="15">
        <f t="shared" si="23"/>
        <v>0</v>
      </c>
    </row>
    <row r="247" spans="1:23" ht="15" customHeight="1" x14ac:dyDescent="0.2">
      <c r="A247" s="14" t="s">
        <v>2403</v>
      </c>
      <c r="B247" s="14" t="s">
        <v>2404</v>
      </c>
      <c r="C247" s="14" t="s">
        <v>1426</v>
      </c>
      <c r="D247" s="14" t="s">
        <v>44</v>
      </c>
      <c r="E247" s="14" t="s">
        <v>2037</v>
      </c>
      <c r="F247" s="14">
        <v>1366</v>
      </c>
      <c r="G247" s="15">
        <v>50.91</v>
      </c>
      <c r="H247" s="16">
        <v>46003</v>
      </c>
      <c r="I247" s="16">
        <v>46172</v>
      </c>
      <c r="J247" s="16">
        <v>46721</v>
      </c>
      <c r="K247" s="14" t="s">
        <v>1994</v>
      </c>
      <c r="L247" s="16">
        <f>IF(D247="Packaging","",IF(ISNUMBER(J247),J247,IF(ISNUMBER(I247),EDATE(I247,VLOOKUP(D247,Assumptions!$A$10:$B$16,2,0)),"")))</f>
        <v>46721</v>
      </c>
      <c r="M247" s="14">
        <f>IF(ISNUMBER(L247),L247-Assumptions!$B$5,"")</f>
        <v>699</v>
      </c>
      <c r="N247" s="17">
        <f t="shared" si="18"/>
        <v>0</v>
      </c>
      <c r="O247" s="14">
        <f>IF(COUNTIF(Assumptions!$A$25:$A$27,A247)&gt;0,1,0)</f>
        <v>0</v>
      </c>
      <c r="P247" s="14">
        <f>IF(COUNTIF(Assumptions!$B$25:$B$26,A247)&gt;0,1,0)</f>
        <v>0</v>
      </c>
      <c r="Q247" s="14">
        <f>IF(COUNTIF(Assumptions!$C$25:$C$25,A247)&gt;0,1,0)</f>
        <v>0</v>
      </c>
      <c r="R247" s="17">
        <f t="shared" si="19"/>
        <v>0</v>
      </c>
      <c r="S247" s="15" t="str">
        <f>IFERROR(VLOOKUP(A247,Assumptions!$A$31:$B$33,2,0),"")</f>
        <v/>
      </c>
      <c r="T247" s="15">
        <f t="shared" si="20"/>
        <v>50.91</v>
      </c>
      <c r="U247" s="15">
        <f t="shared" si="21"/>
        <v>69543.06</v>
      </c>
      <c r="V247" s="15">
        <f t="shared" si="22"/>
        <v>69543.06</v>
      </c>
      <c r="W247" s="15">
        <f t="shared" si="23"/>
        <v>0</v>
      </c>
    </row>
    <row r="248" spans="1:23" ht="15" customHeight="1" x14ac:dyDescent="0.2">
      <c r="A248" s="14" t="s">
        <v>2405</v>
      </c>
      <c r="B248" s="14" t="s">
        <v>2406</v>
      </c>
      <c r="C248" s="14" t="s">
        <v>2042</v>
      </c>
      <c r="D248" s="14" t="s">
        <v>47</v>
      </c>
      <c r="E248" s="14" t="s">
        <v>1993</v>
      </c>
      <c r="F248" s="14">
        <v>2776</v>
      </c>
      <c r="G248" s="15">
        <v>413.23</v>
      </c>
      <c r="H248" s="16">
        <v>45982</v>
      </c>
      <c r="I248" s="16">
        <v>45926</v>
      </c>
      <c r="J248" s="16"/>
      <c r="K248" s="14" t="s">
        <v>1989</v>
      </c>
      <c r="L248" s="16" t="str">
        <f>IF(D248="Packaging","",IF(ISNUMBER(J248),J248,IF(ISNUMBER(I248),EDATE(I248,VLOOKUP(D248,Assumptions!$A$10:$B$16,2,0)),"")))</f>
        <v/>
      </c>
      <c r="M248" s="14" t="str">
        <f>IF(ISNUMBER(L248),L248-Assumptions!$B$5,"")</f>
        <v/>
      </c>
      <c r="N248" s="17">
        <f t="shared" si="18"/>
        <v>0</v>
      </c>
      <c r="O248" s="14">
        <f>IF(COUNTIF(Assumptions!$A$25:$A$27,A248)&gt;0,1,0)</f>
        <v>0</v>
      </c>
      <c r="P248" s="14">
        <f>IF(COUNTIF(Assumptions!$B$25:$B$26,A248)&gt;0,1,0)</f>
        <v>0</v>
      </c>
      <c r="Q248" s="14">
        <f>IF(COUNTIF(Assumptions!$C$25:$C$25,A248)&gt;0,1,0)</f>
        <v>0</v>
      </c>
      <c r="R248" s="17">
        <f t="shared" si="19"/>
        <v>0</v>
      </c>
      <c r="S248" s="15" t="str">
        <f>IFERROR(VLOOKUP(A248,Assumptions!$A$31:$B$33,2,0),"")</f>
        <v/>
      </c>
      <c r="T248" s="15">
        <f t="shared" si="20"/>
        <v>413.23</v>
      </c>
      <c r="U248" s="15">
        <f t="shared" si="21"/>
        <v>1147126.48</v>
      </c>
      <c r="V248" s="15">
        <f t="shared" si="22"/>
        <v>1147126.48</v>
      </c>
      <c r="W248" s="15">
        <f t="shared" si="23"/>
        <v>0</v>
      </c>
    </row>
    <row r="249" spans="1:23" ht="15" customHeight="1" x14ac:dyDescent="0.2">
      <c r="A249" s="14" t="s">
        <v>2407</v>
      </c>
      <c r="B249" s="14" t="s">
        <v>2408</v>
      </c>
      <c r="C249" s="14" t="s">
        <v>2159</v>
      </c>
      <c r="D249" s="14" t="s">
        <v>46</v>
      </c>
      <c r="E249" s="14" t="s">
        <v>1993</v>
      </c>
      <c r="F249" s="14">
        <v>837</v>
      </c>
      <c r="G249" s="15">
        <v>130.05000000000001</v>
      </c>
      <c r="H249" s="16">
        <v>46002</v>
      </c>
      <c r="I249" s="16">
        <v>46074</v>
      </c>
      <c r="J249" s="16">
        <v>46347</v>
      </c>
      <c r="K249" s="14" t="s">
        <v>2030</v>
      </c>
      <c r="L249" s="16">
        <f>IF(D249="Packaging","",IF(ISNUMBER(J249),J249,IF(ISNUMBER(I249),EDATE(I249,VLOOKUP(D249,Assumptions!$A$10:$B$16,2,0)),"")))</f>
        <v>46347</v>
      </c>
      <c r="M249" s="14">
        <f>IF(ISNUMBER(L249),L249-Assumptions!$B$5,"")</f>
        <v>325</v>
      </c>
      <c r="N249" s="17">
        <f t="shared" si="18"/>
        <v>0</v>
      </c>
      <c r="O249" s="14">
        <f>IF(COUNTIF(Assumptions!$A$25:$A$27,A249)&gt;0,1,0)</f>
        <v>0</v>
      </c>
      <c r="P249" s="14">
        <f>IF(COUNTIF(Assumptions!$B$25:$B$26,A249)&gt;0,1,0)</f>
        <v>0</v>
      </c>
      <c r="Q249" s="14">
        <f>IF(COUNTIF(Assumptions!$C$25:$C$25,A249)&gt;0,1,0)</f>
        <v>0</v>
      </c>
      <c r="R249" s="17">
        <f t="shared" si="19"/>
        <v>0</v>
      </c>
      <c r="S249" s="15" t="str">
        <f>IFERROR(VLOOKUP(A249,Assumptions!$A$31:$B$33,2,0),"")</f>
        <v/>
      </c>
      <c r="T249" s="15">
        <f t="shared" si="20"/>
        <v>130.05000000000001</v>
      </c>
      <c r="U249" s="15">
        <f t="shared" si="21"/>
        <v>108851.85</v>
      </c>
      <c r="V249" s="15">
        <f t="shared" si="22"/>
        <v>108851.85</v>
      </c>
      <c r="W249" s="15">
        <f t="shared" si="23"/>
        <v>0</v>
      </c>
    </row>
    <row r="250" spans="1:23" ht="15" customHeight="1" x14ac:dyDescent="0.2">
      <c r="A250" s="14" t="s">
        <v>2409</v>
      </c>
      <c r="B250" s="14" t="s">
        <v>2410</v>
      </c>
      <c r="C250" s="14" t="s">
        <v>2049</v>
      </c>
      <c r="D250" s="14" t="s">
        <v>42</v>
      </c>
      <c r="E250" s="14" t="s">
        <v>2037</v>
      </c>
      <c r="F250" s="14">
        <v>446</v>
      </c>
      <c r="G250" s="15">
        <v>303.07</v>
      </c>
      <c r="H250" s="16">
        <v>46007</v>
      </c>
      <c r="I250" s="16">
        <v>46159</v>
      </c>
      <c r="J250" s="16">
        <v>46524</v>
      </c>
      <c r="K250" s="14" t="s">
        <v>2052</v>
      </c>
      <c r="L250" s="16">
        <f>IF(D250="Packaging","",IF(ISNUMBER(J250),J250,IF(ISNUMBER(I250),EDATE(I250,VLOOKUP(D250,Assumptions!$A$10:$B$16,2,0)),"")))</f>
        <v>46524</v>
      </c>
      <c r="M250" s="14">
        <f>IF(ISNUMBER(L250),L250-Assumptions!$B$5,"")</f>
        <v>502</v>
      </c>
      <c r="N250" s="17">
        <f t="shared" si="18"/>
        <v>0</v>
      </c>
      <c r="O250" s="14">
        <f>IF(COUNTIF(Assumptions!$A$25:$A$27,A250)&gt;0,1,0)</f>
        <v>0</v>
      </c>
      <c r="P250" s="14">
        <f>IF(COUNTIF(Assumptions!$B$25:$B$26,A250)&gt;0,1,0)</f>
        <v>0</v>
      </c>
      <c r="Q250" s="14">
        <f>IF(COUNTIF(Assumptions!$C$25:$C$25,A250)&gt;0,1,0)</f>
        <v>0</v>
      </c>
      <c r="R250" s="17">
        <f t="shared" si="19"/>
        <v>0</v>
      </c>
      <c r="S250" s="15" t="str">
        <f>IFERROR(VLOOKUP(A250,Assumptions!$A$31:$B$33,2,0),"")</f>
        <v/>
      </c>
      <c r="T250" s="15">
        <f t="shared" si="20"/>
        <v>303.07</v>
      </c>
      <c r="U250" s="15">
        <f t="shared" si="21"/>
        <v>135169.22</v>
      </c>
      <c r="V250" s="15">
        <f t="shared" si="22"/>
        <v>135169.22</v>
      </c>
      <c r="W250" s="15">
        <f t="shared" si="23"/>
        <v>0</v>
      </c>
    </row>
    <row r="251" spans="1:23" ht="15" customHeight="1" x14ac:dyDescent="0.2">
      <c r="A251" s="14" t="s">
        <v>2411</v>
      </c>
      <c r="B251" s="14" t="s">
        <v>2412</v>
      </c>
      <c r="C251" s="14" t="s">
        <v>1435</v>
      </c>
      <c r="D251" s="14" t="s">
        <v>36</v>
      </c>
      <c r="E251" s="14" t="s">
        <v>1993</v>
      </c>
      <c r="F251" s="14">
        <v>2190</v>
      </c>
      <c r="G251" s="15">
        <v>125.49</v>
      </c>
      <c r="H251" s="16">
        <v>45968</v>
      </c>
      <c r="I251" s="16">
        <v>45878</v>
      </c>
      <c r="J251" s="16"/>
      <c r="K251" s="14" t="s">
        <v>2052</v>
      </c>
      <c r="L251" s="16">
        <f>IF(D251="Packaging","",IF(ISNUMBER(J251),J251,IF(ISNUMBER(I251),EDATE(I251,VLOOKUP(D251,Assumptions!$A$10:$B$16,2,0)),"")))</f>
        <v>46608</v>
      </c>
      <c r="M251" s="14">
        <f>IF(ISNUMBER(L251),L251-Assumptions!$B$5,"")</f>
        <v>586</v>
      </c>
      <c r="N251" s="17">
        <f t="shared" si="18"/>
        <v>0</v>
      </c>
      <c r="O251" s="14">
        <f>IF(COUNTIF(Assumptions!$A$25:$A$27,A251)&gt;0,1,0)</f>
        <v>0</v>
      </c>
      <c r="P251" s="14">
        <f>IF(COUNTIF(Assumptions!$B$25:$B$26,A251)&gt;0,1,0)</f>
        <v>0</v>
      </c>
      <c r="Q251" s="14">
        <f>IF(COUNTIF(Assumptions!$C$25:$C$25,A251)&gt;0,1,0)</f>
        <v>0</v>
      </c>
      <c r="R251" s="17">
        <f t="shared" si="19"/>
        <v>0</v>
      </c>
      <c r="S251" s="15" t="str">
        <f>IFERROR(VLOOKUP(A251,Assumptions!$A$31:$B$33,2,0),"")</f>
        <v/>
      </c>
      <c r="T251" s="15">
        <f t="shared" si="20"/>
        <v>125.49</v>
      </c>
      <c r="U251" s="15">
        <f t="shared" si="21"/>
        <v>274823.09999999998</v>
      </c>
      <c r="V251" s="15">
        <f t="shared" si="22"/>
        <v>274823.09999999998</v>
      </c>
      <c r="W251" s="15">
        <f t="shared" si="23"/>
        <v>0</v>
      </c>
    </row>
    <row r="252" spans="1:23" ht="15" customHeight="1" x14ac:dyDescent="0.2">
      <c r="A252" s="14" t="s">
        <v>2413</v>
      </c>
      <c r="B252" s="14" t="s">
        <v>2414</v>
      </c>
      <c r="C252" s="14" t="s">
        <v>2013</v>
      </c>
      <c r="D252" s="14" t="s">
        <v>44</v>
      </c>
      <c r="E252" s="14" t="s">
        <v>1993</v>
      </c>
      <c r="F252" s="14">
        <v>4011</v>
      </c>
      <c r="G252" s="15">
        <v>284.56</v>
      </c>
      <c r="H252" s="16">
        <v>45596</v>
      </c>
      <c r="I252" s="16">
        <v>45576</v>
      </c>
      <c r="J252" s="16">
        <v>46123</v>
      </c>
      <c r="K252" s="14" t="s">
        <v>1989</v>
      </c>
      <c r="L252" s="16">
        <f>IF(D252="Packaging","",IF(ISNUMBER(J252),J252,IF(ISNUMBER(I252),EDATE(I252,VLOOKUP(D252,Assumptions!$A$10:$B$16,2,0)),"")))</f>
        <v>46123</v>
      </c>
      <c r="M252" s="14">
        <f>IF(ISNUMBER(L252),L252-Assumptions!$B$5,"")</f>
        <v>101</v>
      </c>
      <c r="N252" s="17">
        <f t="shared" si="18"/>
        <v>0.25</v>
      </c>
      <c r="O252" s="14">
        <f>IF(COUNTIF(Assumptions!$A$25:$A$27,A252)&gt;0,1,0)</f>
        <v>0</v>
      </c>
      <c r="P252" s="14">
        <f>IF(COUNTIF(Assumptions!$B$25:$B$26,A252)&gt;0,1,0)</f>
        <v>0</v>
      </c>
      <c r="Q252" s="14">
        <f>IF(COUNTIF(Assumptions!$C$25:$C$25,A252)&gt;0,1,0)</f>
        <v>0</v>
      </c>
      <c r="R252" s="17">
        <f t="shared" si="19"/>
        <v>0.25</v>
      </c>
      <c r="S252" s="15" t="str">
        <f>IFERROR(VLOOKUP(A252,Assumptions!$A$31:$B$33,2,0),"")</f>
        <v/>
      </c>
      <c r="T252" s="15">
        <f t="shared" si="20"/>
        <v>284.56</v>
      </c>
      <c r="U252" s="15">
        <f t="shared" si="21"/>
        <v>1141370.1599999999</v>
      </c>
      <c r="V252" s="15">
        <f t="shared" si="22"/>
        <v>856027.61999999988</v>
      </c>
      <c r="W252" s="15">
        <f t="shared" si="23"/>
        <v>285342.54000000004</v>
      </c>
    </row>
    <row r="253" spans="1:23" ht="15" customHeight="1" x14ac:dyDescent="0.2">
      <c r="A253" s="14" t="s">
        <v>2415</v>
      </c>
      <c r="B253" s="14" t="s">
        <v>2416</v>
      </c>
      <c r="C253" s="14" t="s">
        <v>1426</v>
      </c>
      <c r="D253" s="14" t="s">
        <v>44</v>
      </c>
      <c r="E253" s="14" t="s">
        <v>1988</v>
      </c>
      <c r="F253" s="14">
        <v>1444</v>
      </c>
      <c r="G253" s="15">
        <v>386.26</v>
      </c>
      <c r="H253" s="16">
        <v>46008</v>
      </c>
      <c r="I253" s="16">
        <v>46246</v>
      </c>
      <c r="J253" s="16">
        <v>46795</v>
      </c>
      <c r="K253" s="14" t="s">
        <v>2004</v>
      </c>
      <c r="L253" s="16">
        <f>IF(D253="Packaging","",IF(ISNUMBER(J253),J253,IF(ISNUMBER(I253),EDATE(I253,VLOOKUP(D253,Assumptions!$A$10:$B$16,2,0)),"")))</f>
        <v>46795</v>
      </c>
      <c r="M253" s="14">
        <f>IF(ISNUMBER(L253),L253-Assumptions!$B$5,"")</f>
        <v>773</v>
      </c>
      <c r="N253" s="17">
        <f t="shared" si="18"/>
        <v>0</v>
      </c>
      <c r="O253" s="14">
        <f>IF(COUNTIF(Assumptions!$A$25:$A$27,A253)&gt;0,1,0)</f>
        <v>0</v>
      </c>
      <c r="P253" s="14">
        <f>IF(COUNTIF(Assumptions!$B$25:$B$26,A253)&gt;0,1,0)</f>
        <v>0</v>
      </c>
      <c r="Q253" s="14">
        <f>IF(COUNTIF(Assumptions!$C$25:$C$25,A253)&gt;0,1,0)</f>
        <v>0</v>
      </c>
      <c r="R253" s="17">
        <f t="shared" si="19"/>
        <v>0</v>
      </c>
      <c r="S253" s="15" t="str">
        <f>IFERROR(VLOOKUP(A253,Assumptions!$A$31:$B$33,2,0),"")</f>
        <v/>
      </c>
      <c r="T253" s="15">
        <f t="shared" si="20"/>
        <v>386.26</v>
      </c>
      <c r="U253" s="15">
        <f t="shared" si="21"/>
        <v>557759.43999999994</v>
      </c>
      <c r="V253" s="15">
        <f t="shared" si="22"/>
        <v>557759.43999999994</v>
      </c>
      <c r="W253" s="15">
        <f t="shared" si="23"/>
        <v>0</v>
      </c>
    </row>
    <row r="254" spans="1:23" ht="15" customHeight="1" x14ac:dyDescent="0.2">
      <c r="A254" s="14" t="s">
        <v>34</v>
      </c>
      <c r="B254" s="14" t="s">
        <v>2417</v>
      </c>
      <c r="C254" s="14" t="s">
        <v>2036</v>
      </c>
      <c r="D254" s="14" t="s">
        <v>45</v>
      </c>
      <c r="E254" s="14" t="s">
        <v>2014</v>
      </c>
      <c r="F254" s="14">
        <v>4504</v>
      </c>
      <c r="G254" s="15">
        <v>103.24</v>
      </c>
      <c r="H254" s="16">
        <v>45985</v>
      </c>
      <c r="I254" s="16">
        <v>46178</v>
      </c>
      <c r="J254" s="16">
        <v>46361</v>
      </c>
      <c r="K254" s="14" t="s">
        <v>2004</v>
      </c>
      <c r="L254" s="16">
        <f>IF(D254="Packaging","",IF(ISNUMBER(J254),J254,IF(ISNUMBER(I254),EDATE(I254,VLOOKUP(D254,Assumptions!$A$10:$B$16,2,0)),"")))</f>
        <v>46361</v>
      </c>
      <c r="M254" s="14">
        <f>IF(ISNUMBER(L254),L254-Assumptions!$B$5,"")</f>
        <v>339</v>
      </c>
      <c r="N254" s="17">
        <f t="shared" si="18"/>
        <v>0</v>
      </c>
      <c r="O254" s="14">
        <f>IF(COUNTIF(Assumptions!$A$25:$A$27,A254)&gt;0,1,0)</f>
        <v>0</v>
      </c>
      <c r="P254" s="14">
        <f>IF(COUNTIF(Assumptions!$B$25:$B$26,A254)&gt;0,1,0)</f>
        <v>0</v>
      </c>
      <c r="Q254" s="14">
        <f>IF(COUNTIF(Assumptions!$C$25:$C$25,A254)&gt;0,1,0)</f>
        <v>0</v>
      </c>
      <c r="R254" s="17">
        <f t="shared" si="19"/>
        <v>0</v>
      </c>
      <c r="S254" s="15">
        <f>IFERROR(VLOOKUP(A254,Assumptions!$A$31:$B$33,2,0),"")</f>
        <v>51.62</v>
      </c>
      <c r="T254" s="15">
        <f t="shared" si="20"/>
        <v>51.62</v>
      </c>
      <c r="U254" s="15">
        <f t="shared" si="21"/>
        <v>464992.95999999996</v>
      </c>
      <c r="V254" s="15">
        <f t="shared" si="22"/>
        <v>232496.47999999998</v>
      </c>
      <c r="W254" s="15">
        <f t="shared" si="23"/>
        <v>232496.47999999998</v>
      </c>
    </row>
    <row r="255" spans="1:23" ht="15" customHeight="1" x14ac:dyDescent="0.2">
      <c r="A255" s="14" t="s">
        <v>2418</v>
      </c>
      <c r="B255" s="14" t="s">
        <v>2419</v>
      </c>
      <c r="C255" s="14" t="s">
        <v>2069</v>
      </c>
      <c r="D255" s="14" t="s">
        <v>47</v>
      </c>
      <c r="E255" s="14" t="s">
        <v>2014</v>
      </c>
      <c r="F255" s="14">
        <v>3560</v>
      </c>
      <c r="G255" s="15">
        <v>131.35</v>
      </c>
      <c r="H255" s="16">
        <v>45416</v>
      </c>
      <c r="I255" s="16">
        <v>45379</v>
      </c>
      <c r="J255" s="16"/>
      <c r="K255" s="14" t="s">
        <v>2004</v>
      </c>
      <c r="L255" s="16" t="str">
        <f>IF(D255="Packaging","",IF(ISNUMBER(J255),J255,IF(ISNUMBER(I255),EDATE(I255,VLOOKUP(D255,Assumptions!$A$10:$B$16,2,0)),"")))</f>
        <v/>
      </c>
      <c r="M255" s="14" t="str">
        <f>IF(ISNUMBER(L255),L255-Assumptions!$B$5,"")</f>
        <v/>
      </c>
      <c r="N255" s="17">
        <f t="shared" si="18"/>
        <v>0</v>
      </c>
      <c r="O255" s="14">
        <f>IF(COUNTIF(Assumptions!$A$25:$A$27,A255)&gt;0,1,0)</f>
        <v>0</v>
      </c>
      <c r="P255" s="14">
        <f>IF(COUNTIF(Assumptions!$B$25:$B$26,A255)&gt;0,1,0)</f>
        <v>0</v>
      </c>
      <c r="Q255" s="14">
        <f>IF(COUNTIF(Assumptions!$C$25:$C$25,A255)&gt;0,1,0)</f>
        <v>0</v>
      </c>
      <c r="R255" s="17">
        <f t="shared" si="19"/>
        <v>0</v>
      </c>
      <c r="S255" s="15" t="str">
        <f>IFERROR(VLOOKUP(A255,Assumptions!$A$31:$B$33,2,0),"")</f>
        <v/>
      </c>
      <c r="T255" s="15">
        <f t="shared" si="20"/>
        <v>131.35</v>
      </c>
      <c r="U255" s="15">
        <f t="shared" si="21"/>
        <v>467606</v>
      </c>
      <c r="V255" s="15">
        <f t="shared" si="22"/>
        <v>467606</v>
      </c>
      <c r="W255" s="15">
        <f t="shared" si="23"/>
        <v>0</v>
      </c>
    </row>
    <row r="256" spans="1:23" ht="15" customHeight="1" x14ac:dyDescent="0.2">
      <c r="A256" s="14" t="s">
        <v>2420</v>
      </c>
      <c r="B256" s="14" t="s">
        <v>2421</v>
      </c>
      <c r="C256" s="14" t="s">
        <v>1997</v>
      </c>
      <c r="D256" s="14" t="s">
        <v>45</v>
      </c>
      <c r="E256" s="14" t="s">
        <v>1988</v>
      </c>
      <c r="F256" s="14">
        <v>4882</v>
      </c>
      <c r="G256" s="15">
        <v>412.62</v>
      </c>
      <c r="H256" s="16">
        <v>46015</v>
      </c>
      <c r="I256" s="16">
        <v>46204</v>
      </c>
      <c r="J256" s="16">
        <v>46388</v>
      </c>
      <c r="K256" s="14" t="s">
        <v>2021</v>
      </c>
      <c r="L256" s="16">
        <f>IF(D256="Packaging","",IF(ISNUMBER(J256),J256,IF(ISNUMBER(I256),EDATE(I256,VLOOKUP(D256,Assumptions!$A$10:$B$16,2,0)),"")))</f>
        <v>46388</v>
      </c>
      <c r="M256" s="14">
        <f>IF(ISNUMBER(L256),L256-Assumptions!$B$5,"")</f>
        <v>366</v>
      </c>
      <c r="N256" s="17">
        <f t="shared" si="18"/>
        <v>0</v>
      </c>
      <c r="O256" s="14">
        <f>IF(COUNTIF(Assumptions!$A$25:$A$27,A256)&gt;0,1,0)</f>
        <v>0</v>
      </c>
      <c r="P256" s="14">
        <f>IF(COUNTIF(Assumptions!$B$25:$B$26,A256)&gt;0,1,0)</f>
        <v>0</v>
      </c>
      <c r="Q256" s="14">
        <f>IF(COUNTIF(Assumptions!$C$25:$C$25,A256)&gt;0,1,0)</f>
        <v>0</v>
      </c>
      <c r="R256" s="17">
        <f t="shared" si="19"/>
        <v>0</v>
      </c>
      <c r="S256" s="15" t="str">
        <f>IFERROR(VLOOKUP(A256,Assumptions!$A$31:$B$33,2,0),"")</f>
        <v/>
      </c>
      <c r="T256" s="15">
        <f t="shared" si="20"/>
        <v>412.62</v>
      </c>
      <c r="U256" s="15">
        <f t="shared" si="21"/>
        <v>2014410.84</v>
      </c>
      <c r="V256" s="15">
        <f t="shared" si="22"/>
        <v>2014410.84</v>
      </c>
      <c r="W256" s="15">
        <f t="shared" si="23"/>
        <v>0</v>
      </c>
    </row>
    <row r="257" spans="1:23" ht="15" customHeight="1" x14ac:dyDescent="0.2">
      <c r="A257" s="14" t="s">
        <v>758</v>
      </c>
      <c r="B257" s="14" t="s">
        <v>757</v>
      </c>
      <c r="C257" s="14" t="s">
        <v>2108</v>
      </c>
      <c r="D257" s="14" t="s">
        <v>39</v>
      </c>
      <c r="E257" s="14" t="s">
        <v>2014</v>
      </c>
      <c r="F257" s="14">
        <v>790</v>
      </c>
      <c r="G257" s="15">
        <v>107.97</v>
      </c>
      <c r="H257" s="16">
        <v>45626</v>
      </c>
      <c r="I257" s="16">
        <v>45610</v>
      </c>
      <c r="J257" s="16">
        <v>46705</v>
      </c>
      <c r="K257" s="14" t="s">
        <v>1989</v>
      </c>
      <c r="L257" s="16">
        <f>IF(D257="Packaging","",IF(ISNUMBER(J257),J257,IF(ISNUMBER(I257),EDATE(I257,VLOOKUP(D257,Assumptions!$A$10:$B$16,2,0)),"")))</f>
        <v>46705</v>
      </c>
      <c r="M257" s="14">
        <f>IF(ISNUMBER(L257),L257-Assumptions!$B$5,"")</f>
        <v>683</v>
      </c>
      <c r="N257" s="17">
        <f t="shared" si="18"/>
        <v>0</v>
      </c>
      <c r="O257" s="14">
        <f>IF(COUNTIF(Assumptions!$A$25:$A$27,A257)&gt;0,1,0)</f>
        <v>0</v>
      </c>
      <c r="P257" s="14">
        <f>IF(COUNTIF(Assumptions!$B$25:$B$26,A257)&gt;0,1,0)</f>
        <v>0</v>
      </c>
      <c r="Q257" s="14">
        <f>IF(COUNTIF(Assumptions!$C$25:$C$25,A257)&gt;0,1,0)</f>
        <v>0</v>
      </c>
      <c r="R257" s="17">
        <f t="shared" si="19"/>
        <v>0</v>
      </c>
      <c r="S257" s="15" t="str">
        <f>IFERROR(VLOOKUP(A257,Assumptions!$A$31:$B$33,2,0),"")</f>
        <v/>
      </c>
      <c r="T257" s="15">
        <f t="shared" si="20"/>
        <v>107.97</v>
      </c>
      <c r="U257" s="15">
        <f t="shared" si="21"/>
        <v>85296.3</v>
      </c>
      <c r="V257" s="15">
        <f t="shared" si="22"/>
        <v>85296.3</v>
      </c>
      <c r="W257" s="15">
        <f t="shared" si="23"/>
        <v>0</v>
      </c>
    </row>
    <row r="258" spans="1:23" ht="15" customHeight="1" x14ac:dyDescent="0.2">
      <c r="A258" s="14" t="s">
        <v>2422</v>
      </c>
      <c r="B258" s="14" t="s">
        <v>2423</v>
      </c>
      <c r="C258" s="14" t="s">
        <v>2036</v>
      </c>
      <c r="D258" s="14" t="s">
        <v>45</v>
      </c>
      <c r="E258" s="14" t="s">
        <v>1993</v>
      </c>
      <c r="F258" s="14">
        <v>3762</v>
      </c>
      <c r="G258" s="15">
        <v>170.28</v>
      </c>
      <c r="H258" s="16">
        <v>46013</v>
      </c>
      <c r="I258" s="16">
        <v>46143</v>
      </c>
      <c r="J258" s="16">
        <v>46327</v>
      </c>
      <c r="K258" s="14" t="s">
        <v>2052</v>
      </c>
      <c r="L258" s="16">
        <f>IF(D258="Packaging","",IF(ISNUMBER(J258),J258,IF(ISNUMBER(I258),EDATE(I258,VLOOKUP(D258,Assumptions!$A$10:$B$16,2,0)),"")))</f>
        <v>46327</v>
      </c>
      <c r="M258" s="14">
        <f>IF(ISNUMBER(L258),L258-Assumptions!$B$5,"")</f>
        <v>305</v>
      </c>
      <c r="N258" s="17">
        <f t="shared" ref="N258:N321" si="24">IF(D258="Packaging",0,IF(NOT(ISNUMBER(L258)),0,IF(M258&lt;0,1,IF(M258&lt;=90,0.5,IF(M258&lt;=180,0.25,0)))))</f>
        <v>0</v>
      </c>
      <c r="O258" s="14">
        <f>IF(COUNTIF(Assumptions!$A$25:$A$27,A258)&gt;0,1,0)</f>
        <v>0</v>
      </c>
      <c r="P258" s="14">
        <f>IF(COUNTIF(Assumptions!$B$25:$B$26,A258)&gt;0,1,0)</f>
        <v>0</v>
      </c>
      <c r="Q258" s="14">
        <f>IF(COUNTIF(Assumptions!$C$25:$C$25,A258)&gt;0,1,0)</f>
        <v>0</v>
      </c>
      <c r="R258" s="17">
        <f t="shared" ref="R258:R321" si="25">IF(OR(O258=1,Q258=1),1,IF(P258=1,0.5,N258))</f>
        <v>0</v>
      </c>
      <c r="S258" s="15" t="str">
        <f>IFERROR(VLOOKUP(A258,Assumptions!$A$31:$B$33,2,0),"")</f>
        <v/>
      </c>
      <c r="T258" s="15">
        <f t="shared" ref="T258:T321" si="26">IF(S258="",G258,MIN(G258,S258))</f>
        <v>170.28</v>
      </c>
      <c r="U258" s="15">
        <f t="shared" ref="U258:U321" si="27">F258*G258</f>
        <v>640593.36</v>
      </c>
      <c r="V258" s="15">
        <f t="shared" ref="V258:V321" si="28">F258*T258*(1-R258)</f>
        <v>640593.36</v>
      </c>
      <c r="W258" s="15">
        <f t="shared" ref="W258:W321" si="29">U258-V258</f>
        <v>0</v>
      </c>
    </row>
    <row r="259" spans="1:23" ht="15" customHeight="1" x14ac:dyDescent="0.2">
      <c r="A259" s="14" t="s">
        <v>2424</v>
      </c>
      <c r="B259" s="14" t="s">
        <v>2425</v>
      </c>
      <c r="C259" s="14" t="s">
        <v>2007</v>
      </c>
      <c r="D259" s="14" t="s">
        <v>47</v>
      </c>
      <c r="E259" s="14" t="s">
        <v>2014</v>
      </c>
      <c r="F259" s="14">
        <v>1969</v>
      </c>
      <c r="G259" s="15">
        <v>20.88</v>
      </c>
      <c r="H259" s="16">
        <v>45966</v>
      </c>
      <c r="I259" s="16">
        <v>45955</v>
      </c>
      <c r="J259" s="16"/>
      <c r="K259" s="14" t="s">
        <v>2021</v>
      </c>
      <c r="L259" s="16" t="str">
        <f>IF(D259="Packaging","",IF(ISNUMBER(J259),J259,IF(ISNUMBER(I259),EDATE(I259,VLOOKUP(D259,Assumptions!$A$10:$B$16,2,0)),"")))</f>
        <v/>
      </c>
      <c r="M259" s="14" t="str">
        <f>IF(ISNUMBER(L259),L259-Assumptions!$B$5,"")</f>
        <v/>
      </c>
      <c r="N259" s="17">
        <f t="shared" si="24"/>
        <v>0</v>
      </c>
      <c r="O259" s="14">
        <f>IF(COUNTIF(Assumptions!$A$25:$A$27,A259)&gt;0,1,0)</f>
        <v>0</v>
      </c>
      <c r="P259" s="14">
        <f>IF(COUNTIF(Assumptions!$B$25:$B$26,A259)&gt;0,1,0)</f>
        <v>0</v>
      </c>
      <c r="Q259" s="14">
        <f>IF(COUNTIF(Assumptions!$C$25:$C$25,A259)&gt;0,1,0)</f>
        <v>0</v>
      </c>
      <c r="R259" s="17">
        <f t="shared" si="25"/>
        <v>0</v>
      </c>
      <c r="S259" s="15" t="str">
        <f>IFERROR(VLOOKUP(A259,Assumptions!$A$31:$B$33,2,0),"")</f>
        <v/>
      </c>
      <c r="T259" s="15">
        <f t="shared" si="26"/>
        <v>20.88</v>
      </c>
      <c r="U259" s="15">
        <f t="shared" si="27"/>
        <v>41112.720000000001</v>
      </c>
      <c r="V259" s="15">
        <f t="shared" si="28"/>
        <v>41112.720000000001</v>
      </c>
      <c r="W259" s="15">
        <f t="shared" si="29"/>
        <v>0</v>
      </c>
    </row>
    <row r="260" spans="1:23" ht="15" customHeight="1" x14ac:dyDescent="0.2">
      <c r="A260" s="14" t="s">
        <v>2426</v>
      </c>
      <c r="B260" s="14" t="s">
        <v>2427</v>
      </c>
      <c r="C260" s="14" t="s">
        <v>2094</v>
      </c>
      <c r="D260" s="14" t="s">
        <v>47</v>
      </c>
      <c r="E260" s="14" t="s">
        <v>1988</v>
      </c>
      <c r="F260" s="14">
        <v>63</v>
      </c>
      <c r="G260" s="15">
        <v>120.85</v>
      </c>
      <c r="H260" s="16">
        <v>45499</v>
      </c>
      <c r="I260" s="16">
        <v>45470</v>
      </c>
      <c r="J260" s="16"/>
      <c r="K260" s="14" t="s">
        <v>1994</v>
      </c>
      <c r="L260" s="16" t="str">
        <f>IF(D260="Packaging","",IF(ISNUMBER(J260),J260,IF(ISNUMBER(I260),EDATE(I260,VLOOKUP(D260,Assumptions!$A$10:$B$16,2,0)),"")))</f>
        <v/>
      </c>
      <c r="M260" s="14" t="str">
        <f>IF(ISNUMBER(L260),L260-Assumptions!$B$5,"")</f>
        <v/>
      </c>
      <c r="N260" s="17">
        <f t="shared" si="24"/>
        <v>0</v>
      </c>
      <c r="O260" s="14">
        <f>IF(COUNTIF(Assumptions!$A$25:$A$27,A260)&gt;0,1,0)</f>
        <v>0</v>
      </c>
      <c r="P260" s="14">
        <f>IF(COUNTIF(Assumptions!$B$25:$B$26,A260)&gt;0,1,0)</f>
        <v>0</v>
      </c>
      <c r="Q260" s="14">
        <f>IF(COUNTIF(Assumptions!$C$25:$C$25,A260)&gt;0,1,0)</f>
        <v>0</v>
      </c>
      <c r="R260" s="17">
        <f t="shared" si="25"/>
        <v>0</v>
      </c>
      <c r="S260" s="15" t="str">
        <f>IFERROR(VLOOKUP(A260,Assumptions!$A$31:$B$33,2,0),"")</f>
        <v/>
      </c>
      <c r="T260" s="15">
        <f t="shared" si="26"/>
        <v>120.85</v>
      </c>
      <c r="U260" s="15">
        <f t="shared" si="27"/>
        <v>7613.5499999999993</v>
      </c>
      <c r="V260" s="15">
        <f t="shared" si="28"/>
        <v>7613.5499999999993</v>
      </c>
      <c r="W260" s="15">
        <f t="shared" si="29"/>
        <v>0</v>
      </c>
    </row>
    <row r="261" spans="1:23" ht="15" customHeight="1" x14ac:dyDescent="0.2">
      <c r="A261" s="14" t="s">
        <v>2428</v>
      </c>
      <c r="B261" s="14" t="s">
        <v>2429</v>
      </c>
      <c r="C261" s="14" t="s">
        <v>2142</v>
      </c>
      <c r="D261" s="14" t="s">
        <v>44</v>
      </c>
      <c r="E261" s="14" t="s">
        <v>1993</v>
      </c>
      <c r="F261" s="14">
        <v>1470</v>
      </c>
      <c r="G261" s="15">
        <v>286.26</v>
      </c>
      <c r="H261" s="16">
        <v>45974</v>
      </c>
      <c r="I261" s="16">
        <v>46124</v>
      </c>
      <c r="J261" s="16">
        <v>46672</v>
      </c>
      <c r="K261" s="14" t="s">
        <v>2004</v>
      </c>
      <c r="L261" s="16">
        <f>IF(D261="Packaging","",IF(ISNUMBER(J261),J261,IF(ISNUMBER(I261),EDATE(I261,VLOOKUP(D261,Assumptions!$A$10:$B$16,2,0)),"")))</f>
        <v>46672</v>
      </c>
      <c r="M261" s="14">
        <f>IF(ISNUMBER(L261),L261-Assumptions!$B$5,"")</f>
        <v>650</v>
      </c>
      <c r="N261" s="17">
        <f t="shared" si="24"/>
        <v>0</v>
      </c>
      <c r="O261" s="14">
        <f>IF(COUNTIF(Assumptions!$A$25:$A$27,A261)&gt;0,1,0)</f>
        <v>0</v>
      </c>
      <c r="P261" s="14">
        <f>IF(COUNTIF(Assumptions!$B$25:$B$26,A261)&gt;0,1,0)</f>
        <v>0</v>
      </c>
      <c r="Q261" s="14">
        <f>IF(COUNTIF(Assumptions!$C$25:$C$25,A261)&gt;0,1,0)</f>
        <v>0</v>
      </c>
      <c r="R261" s="17">
        <f t="shared" si="25"/>
        <v>0</v>
      </c>
      <c r="S261" s="15" t="str">
        <f>IFERROR(VLOOKUP(A261,Assumptions!$A$31:$B$33,2,0),"")</f>
        <v/>
      </c>
      <c r="T261" s="15">
        <f t="shared" si="26"/>
        <v>286.26</v>
      </c>
      <c r="U261" s="15">
        <f t="shared" si="27"/>
        <v>420802.2</v>
      </c>
      <c r="V261" s="15">
        <f t="shared" si="28"/>
        <v>420802.2</v>
      </c>
      <c r="W261" s="15">
        <f t="shared" si="29"/>
        <v>0</v>
      </c>
    </row>
    <row r="262" spans="1:23" ht="15" customHeight="1" x14ac:dyDescent="0.2">
      <c r="A262" s="14" t="s">
        <v>2430</v>
      </c>
      <c r="B262" s="14" t="s">
        <v>2431</v>
      </c>
      <c r="C262" s="14" t="s">
        <v>2010</v>
      </c>
      <c r="D262" s="14" t="s">
        <v>46</v>
      </c>
      <c r="E262" s="14" t="s">
        <v>2014</v>
      </c>
      <c r="F262" s="14">
        <v>2963</v>
      </c>
      <c r="G262" s="15">
        <v>306.7</v>
      </c>
      <c r="H262" s="16">
        <v>45979</v>
      </c>
      <c r="I262" s="16">
        <v>46496</v>
      </c>
      <c r="J262" s="16"/>
      <c r="K262" s="14" t="s">
        <v>2030</v>
      </c>
      <c r="L262" s="16">
        <f>IF(D262="Packaging","",IF(ISNUMBER(J262),J262,IF(ISNUMBER(I262),EDATE(I262,VLOOKUP(D262,Assumptions!$A$10:$B$16,2,0)),"")))</f>
        <v>46771</v>
      </c>
      <c r="M262" s="14">
        <f>IF(ISNUMBER(L262),L262-Assumptions!$B$5,"")</f>
        <v>749</v>
      </c>
      <c r="N262" s="17">
        <f t="shared" si="24"/>
        <v>0</v>
      </c>
      <c r="O262" s="14">
        <f>IF(COUNTIF(Assumptions!$A$25:$A$27,A262)&gt;0,1,0)</f>
        <v>0</v>
      </c>
      <c r="P262" s="14">
        <f>IF(COUNTIF(Assumptions!$B$25:$B$26,A262)&gt;0,1,0)</f>
        <v>0</v>
      </c>
      <c r="Q262" s="14">
        <f>IF(COUNTIF(Assumptions!$C$25:$C$25,A262)&gt;0,1,0)</f>
        <v>0</v>
      </c>
      <c r="R262" s="17">
        <f t="shared" si="25"/>
        <v>0</v>
      </c>
      <c r="S262" s="15" t="str">
        <f>IFERROR(VLOOKUP(A262,Assumptions!$A$31:$B$33,2,0),"")</f>
        <v/>
      </c>
      <c r="T262" s="15">
        <f t="shared" si="26"/>
        <v>306.7</v>
      </c>
      <c r="U262" s="15">
        <f t="shared" si="27"/>
        <v>908752.1</v>
      </c>
      <c r="V262" s="15">
        <f t="shared" si="28"/>
        <v>908752.1</v>
      </c>
      <c r="W262" s="15">
        <f t="shared" si="29"/>
        <v>0</v>
      </c>
    </row>
    <row r="263" spans="1:23" ht="15" customHeight="1" x14ac:dyDescent="0.2">
      <c r="A263" s="14" t="s">
        <v>766</v>
      </c>
      <c r="B263" s="14" t="s">
        <v>765</v>
      </c>
      <c r="C263" s="14" t="s">
        <v>2043</v>
      </c>
      <c r="D263" s="14" t="s">
        <v>39</v>
      </c>
      <c r="E263" s="14" t="s">
        <v>1993</v>
      </c>
      <c r="F263" s="14">
        <v>1476</v>
      </c>
      <c r="G263" s="15">
        <v>107.19</v>
      </c>
      <c r="H263" s="16">
        <v>45707</v>
      </c>
      <c r="I263" s="16">
        <v>45684</v>
      </c>
      <c r="J263" s="16"/>
      <c r="K263" s="14" t="s">
        <v>1994</v>
      </c>
      <c r="L263" s="16">
        <f>IF(D263="Packaging","",IF(ISNUMBER(J263),J263,IF(ISNUMBER(I263),EDATE(I263,VLOOKUP(D263,Assumptions!$A$10:$B$16,2,0)),"")))</f>
        <v>46779</v>
      </c>
      <c r="M263" s="14">
        <f>IF(ISNUMBER(L263),L263-Assumptions!$B$5,"")</f>
        <v>757</v>
      </c>
      <c r="N263" s="17">
        <f t="shared" si="24"/>
        <v>0</v>
      </c>
      <c r="O263" s="14">
        <f>IF(COUNTIF(Assumptions!$A$25:$A$27,A263)&gt;0,1,0)</f>
        <v>0</v>
      </c>
      <c r="P263" s="14">
        <f>IF(COUNTIF(Assumptions!$B$25:$B$26,A263)&gt;0,1,0)</f>
        <v>0</v>
      </c>
      <c r="Q263" s="14">
        <f>IF(COUNTIF(Assumptions!$C$25:$C$25,A263)&gt;0,1,0)</f>
        <v>0</v>
      </c>
      <c r="R263" s="17">
        <f t="shared" si="25"/>
        <v>0</v>
      </c>
      <c r="S263" s="15" t="str">
        <f>IFERROR(VLOOKUP(A263,Assumptions!$A$31:$B$33,2,0),"")</f>
        <v/>
      </c>
      <c r="T263" s="15">
        <f t="shared" si="26"/>
        <v>107.19</v>
      </c>
      <c r="U263" s="15">
        <f t="shared" si="27"/>
        <v>158212.44</v>
      </c>
      <c r="V263" s="15">
        <f t="shared" si="28"/>
        <v>158212.44</v>
      </c>
      <c r="W263" s="15">
        <f t="shared" si="29"/>
        <v>0</v>
      </c>
    </row>
    <row r="264" spans="1:23" ht="15" customHeight="1" x14ac:dyDescent="0.2">
      <c r="A264" s="14" t="s">
        <v>2432</v>
      </c>
      <c r="B264" s="14" t="s">
        <v>2433</v>
      </c>
      <c r="C264" s="14" t="s">
        <v>2076</v>
      </c>
      <c r="D264" s="14" t="s">
        <v>45</v>
      </c>
      <c r="E264" s="14" t="s">
        <v>2037</v>
      </c>
      <c r="F264" s="14">
        <v>299</v>
      </c>
      <c r="G264" s="15">
        <v>150.06</v>
      </c>
      <c r="H264" s="16">
        <v>45969</v>
      </c>
      <c r="I264" s="16">
        <v>46664</v>
      </c>
      <c r="J264" s="16">
        <v>46847</v>
      </c>
      <c r="K264" s="14" t="s">
        <v>2004</v>
      </c>
      <c r="L264" s="16">
        <f>IF(D264="Packaging","",IF(ISNUMBER(J264),J264,IF(ISNUMBER(I264),EDATE(I264,VLOOKUP(D264,Assumptions!$A$10:$B$16,2,0)),"")))</f>
        <v>46847</v>
      </c>
      <c r="M264" s="14">
        <f>IF(ISNUMBER(L264),L264-Assumptions!$B$5,"")</f>
        <v>825</v>
      </c>
      <c r="N264" s="17">
        <f t="shared" si="24"/>
        <v>0</v>
      </c>
      <c r="O264" s="14">
        <f>IF(COUNTIF(Assumptions!$A$25:$A$27,A264)&gt;0,1,0)</f>
        <v>0</v>
      </c>
      <c r="P264" s="14">
        <f>IF(COUNTIF(Assumptions!$B$25:$B$26,A264)&gt;0,1,0)</f>
        <v>0</v>
      </c>
      <c r="Q264" s="14">
        <f>IF(COUNTIF(Assumptions!$C$25:$C$25,A264)&gt;0,1,0)</f>
        <v>0</v>
      </c>
      <c r="R264" s="17">
        <f t="shared" si="25"/>
        <v>0</v>
      </c>
      <c r="S264" s="15" t="str">
        <f>IFERROR(VLOOKUP(A264,Assumptions!$A$31:$B$33,2,0),"")</f>
        <v/>
      </c>
      <c r="T264" s="15">
        <f t="shared" si="26"/>
        <v>150.06</v>
      </c>
      <c r="U264" s="15">
        <f t="shared" si="27"/>
        <v>44867.94</v>
      </c>
      <c r="V264" s="15">
        <f t="shared" si="28"/>
        <v>44867.94</v>
      </c>
      <c r="W264" s="15">
        <f t="shared" si="29"/>
        <v>0</v>
      </c>
    </row>
    <row r="265" spans="1:23" ht="15" customHeight="1" x14ac:dyDescent="0.2">
      <c r="A265" s="14" t="s">
        <v>2434</v>
      </c>
      <c r="B265" s="14" t="s">
        <v>2435</v>
      </c>
      <c r="C265" s="14" t="s">
        <v>2107</v>
      </c>
      <c r="D265" s="14" t="s">
        <v>42</v>
      </c>
      <c r="E265" s="14" t="s">
        <v>2014</v>
      </c>
      <c r="F265" s="14">
        <v>1454</v>
      </c>
      <c r="G265" s="15">
        <v>46.69</v>
      </c>
      <c r="H265" s="16">
        <v>45968</v>
      </c>
      <c r="I265" s="16">
        <v>46302</v>
      </c>
      <c r="J265" s="16"/>
      <c r="K265" s="14" t="s">
        <v>1989</v>
      </c>
      <c r="L265" s="16">
        <f>IF(D265="Packaging","",IF(ISNUMBER(J265),J265,IF(ISNUMBER(I265),EDATE(I265,VLOOKUP(D265,Assumptions!$A$10:$B$16,2,0)),"")))</f>
        <v>46667</v>
      </c>
      <c r="M265" s="14">
        <f>IF(ISNUMBER(L265),L265-Assumptions!$B$5,"")</f>
        <v>645</v>
      </c>
      <c r="N265" s="17">
        <f t="shared" si="24"/>
        <v>0</v>
      </c>
      <c r="O265" s="14">
        <f>IF(COUNTIF(Assumptions!$A$25:$A$27,A265)&gt;0,1,0)</f>
        <v>0</v>
      </c>
      <c r="P265" s="14">
        <f>IF(COUNTIF(Assumptions!$B$25:$B$26,A265)&gt;0,1,0)</f>
        <v>0</v>
      </c>
      <c r="Q265" s="14">
        <f>IF(COUNTIF(Assumptions!$C$25:$C$25,A265)&gt;0,1,0)</f>
        <v>0</v>
      </c>
      <c r="R265" s="17">
        <f t="shared" si="25"/>
        <v>0</v>
      </c>
      <c r="S265" s="15" t="str">
        <f>IFERROR(VLOOKUP(A265,Assumptions!$A$31:$B$33,2,0),"")</f>
        <v/>
      </c>
      <c r="T265" s="15">
        <f t="shared" si="26"/>
        <v>46.69</v>
      </c>
      <c r="U265" s="15">
        <f t="shared" si="27"/>
        <v>67887.259999999995</v>
      </c>
      <c r="V265" s="15">
        <f t="shared" si="28"/>
        <v>67887.259999999995</v>
      </c>
      <c r="W265" s="15">
        <f t="shared" si="29"/>
        <v>0</v>
      </c>
    </row>
    <row r="266" spans="1:23" ht="15" customHeight="1" x14ac:dyDescent="0.2">
      <c r="A266" s="14" t="s">
        <v>2436</v>
      </c>
      <c r="B266" s="14" t="s">
        <v>2437</v>
      </c>
      <c r="C266" s="14" t="s">
        <v>1992</v>
      </c>
      <c r="D266" s="14" t="s">
        <v>45</v>
      </c>
      <c r="E266" s="14" t="s">
        <v>1993</v>
      </c>
      <c r="F266" s="14">
        <v>2398</v>
      </c>
      <c r="G266" s="15">
        <v>105.1</v>
      </c>
      <c r="H266" s="16">
        <v>46003</v>
      </c>
      <c r="I266" s="16">
        <v>46152</v>
      </c>
      <c r="J266" s="16">
        <v>46336</v>
      </c>
      <c r="K266" s="14" t="s">
        <v>2015</v>
      </c>
      <c r="L266" s="16">
        <f>IF(D266="Packaging","",IF(ISNUMBER(J266),J266,IF(ISNUMBER(I266),EDATE(I266,VLOOKUP(D266,Assumptions!$A$10:$B$16,2,0)),"")))</f>
        <v>46336</v>
      </c>
      <c r="M266" s="14">
        <f>IF(ISNUMBER(L266),L266-Assumptions!$B$5,"")</f>
        <v>314</v>
      </c>
      <c r="N266" s="17">
        <f t="shared" si="24"/>
        <v>0</v>
      </c>
      <c r="O266" s="14">
        <f>IF(COUNTIF(Assumptions!$A$25:$A$27,A266)&gt;0,1,0)</f>
        <v>0</v>
      </c>
      <c r="P266" s="14">
        <f>IF(COUNTIF(Assumptions!$B$25:$B$26,A266)&gt;0,1,0)</f>
        <v>0</v>
      </c>
      <c r="Q266" s="14">
        <f>IF(COUNTIF(Assumptions!$C$25:$C$25,A266)&gt;0,1,0)</f>
        <v>0</v>
      </c>
      <c r="R266" s="17">
        <f t="shared" si="25"/>
        <v>0</v>
      </c>
      <c r="S266" s="15" t="str">
        <f>IFERROR(VLOOKUP(A266,Assumptions!$A$31:$B$33,2,0),"")</f>
        <v/>
      </c>
      <c r="T266" s="15">
        <f t="shared" si="26"/>
        <v>105.1</v>
      </c>
      <c r="U266" s="15">
        <f t="shared" si="27"/>
        <v>252029.8</v>
      </c>
      <c r="V266" s="15">
        <f t="shared" si="28"/>
        <v>252029.8</v>
      </c>
      <c r="W266" s="15">
        <f t="shared" si="29"/>
        <v>0</v>
      </c>
    </row>
    <row r="267" spans="1:23" ht="15" customHeight="1" x14ac:dyDescent="0.2">
      <c r="A267" s="14" t="s">
        <v>2438</v>
      </c>
      <c r="B267" s="14" t="s">
        <v>2439</v>
      </c>
      <c r="C267" s="14" t="s">
        <v>1426</v>
      </c>
      <c r="D267" s="14" t="s">
        <v>44</v>
      </c>
      <c r="E267" s="14" t="s">
        <v>2037</v>
      </c>
      <c r="F267" s="14">
        <v>2287</v>
      </c>
      <c r="G267" s="15">
        <v>297.38</v>
      </c>
      <c r="H267" s="16">
        <v>45943</v>
      </c>
      <c r="I267" s="16">
        <v>45872</v>
      </c>
      <c r="J267" s="16">
        <v>46421</v>
      </c>
      <c r="K267" s="14" t="s">
        <v>1989</v>
      </c>
      <c r="L267" s="16">
        <f>IF(D267="Packaging","",IF(ISNUMBER(J267),J267,IF(ISNUMBER(I267),EDATE(I267,VLOOKUP(D267,Assumptions!$A$10:$B$16,2,0)),"")))</f>
        <v>46421</v>
      </c>
      <c r="M267" s="14">
        <f>IF(ISNUMBER(L267),L267-Assumptions!$B$5,"")</f>
        <v>399</v>
      </c>
      <c r="N267" s="17">
        <f t="shared" si="24"/>
        <v>0</v>
      </c>
      <c r="O267" s="14">
        <f>IF(COUNTIF(Assumptions!$A$25:$A$27,A267)&gt;0,1,0)</f>
        <v>0</v>
      </c>
      <c r="P267" s="14">
        <f>IF(COUNTIF(Assumptions!$B$25:$B$26,A267)&gt;0,1,0)</f>
        <v>0</v>
      </c>
      <c r="Q267" s="14">
        <f>IF(COUNTIF(Assumptions!$C$25:$C$25,A267)&gt;0,1,0)</f>
        <v>0</v>
      </c>
      <c r="R267" s="17">
        <f t="shared" si="25"/>
        <v>0</v>
      </c>
      <c r="S267" s="15" t="str">
        <f>IFERROR(VLOOKUP(A267,Assumptions!$A$31:$B$33,2,0),"")</f>
        <v/>
      </c>
      <c r="T267" s="15">
        <f t="shared" si="26"/>
        <v>297.38</v>
      </c>
      <c r="U267" s="15">
        <f t="shared" si="27"/>
        <v>680108.05999999994</v>
      </c>
      <c r="V267" s="15">
        <f t="shared" si="28"/>
        <v>680108.05999999994</v>
      </c>
      <c r="W267" s="15">
        <f t="shared" si="29"/>
        <v>0</v>
      </c>
    </row>
    <row r="268" spans="1:23" ht="15" customHeight="1" x14ac:dyDescent="0.2">
      <c r="A268" s="14" t="s">
        <v>177</v>
      </c>
      <c r="B268" s="14" t="s">
        <v>176</v>
      </c>
      <c r="C268" s="14" t="s">
        <v>2142</v>
      </c>
      <c r="D268" s="14" t="s">
        <v>44</v>
      </c>
      <c r="E268" s="14" t="s">
        <v>1993</v>
      </c>
      <c r="F268" s="14">
        <v>2260</v>
      </c>
      <c r="G268" s="15">
        <v>240.16</v>
      </c>
      <c r="H268" s="16">
        <v>45883</v>
      </c>
      <c r="I268" s="16">
        <v>45857</v>
      </c>
      <c r="J268" s="16">
        <v>46406</v>
      </c>
      <c r="K268" s="14" t="s">
        <v>2052</v>
      </c>
      <c r="L268" s="16">
        <f>IF(D268="Packaging","",IF(ISNUMBER(J268),J268,IF(ISNUMBER(I268),EDATE(I268,VLOOKUP(D268,Assumptions!$A$10:$B$16,2,0)),"")))</f>
        <v>46406</v>
      </c>
      <c r="M268" s="14">
        <f>IF(ISNUMBER(L268),L268-Assumptions!$B$5,"")</f>
        <v>384</v>
      </c>
      <c r="N268" s="17">
        <f t="shared" si="24"/>
        <v>0</v>
      </c>
      <c r="O268" s="14">
        <f>IF(COUNTIF(Assumptions!$A$25:$A$27,A268)&gt;0,1,0)</f>
        <v>0</v>
      </c>
      <c r="P268" s="14">
        <f>IF(COUNTIF(Assumptions!$B$25:$B$26,A268)&gt;0,1,0)</f>
        <v>0</v>
      </c>
      <c r="Q268" s="14">
        <f>IF(COUNTIF(Assumptions!$C$25:$C$25,A268)&gt;0,1,0)</f>
        <v>0</v>
      </c>
      <c r="R268" s="17">
        <f t="shared" si="25"/>
        <v>0</v>
      </c>
      <c r="S268" s="15" t="str">
        <f>IFERROR(VLOOKUP(A268,Assumptions!$A$31:$B$33,2,0),"")</f>
        <v/>
      </c>
      <c r="T268" s="15">
        <f t="shared" si="26"/>
        <v>240.16</v>
      </c>
      <c r="U268" s="15">
        <f t="shared" si="27"/>
        <v>542761.6</v>
      </c>
      <c r="V268" s="15">
        <f t="shared" si="28"/>
        <v>542761.6</v>
      </c>
      <c r="W268" s="15">
        <f t="shared" si="29"/>
        <v>0</v>
      </c>
    </row>
    <row r="269" spans="1:23" ht="15" customHeight="1" x14ac:dyDescent="0.2">
      <c r="A269" s="14" t="s">
        <v>2440</v>
      </c>
      <c r="B269" s="14" t="s">
        <v>2441</v>
      </c>
      <c r="C269" s="14" t="s">
        <v>2007</v>
      </c>
      <c r="D269" s="14" t="s">
        <v>47</v>
      </c>
      <c r="E269" s="14" t="s">
        <v>1993</v>
      </c>
      <c r="F269" s="14">
        <v>2917</v>
      </c>
      <c r="G269" s="15">
        <v>18.21</v>
      </c>
      <c r="H269" s="16">
        <v>45495</v>
      </c>
      <c r="I269" s="16">
        <v>45486</v>
      </c>
      <c r="J269" s="16"/>
      <c r="K269" s="14" t="s">
        <v>2030</v>
      </c>
      <c r="L269" s="16" t="str">
        <f>IF(D269="Packaging","",IF(ISNUMBER(J269),J269,IF(ISNUMBER(I269),EDATE(I269,VLOOKUP(D269,Assumptions!$A$10:$B$16,2,0)),"")))</f>
        <v/>
      </c>
      <c r="M269" s="14" t="str">
        <f>IF(ISNUMBER(L269),L269-Assumptions!$B$5,"")</f>
        <v/>
      </c>
      <c r="N269" s="17">
        <f t="shared" si="24"/>
        <v>0</v>
      </c>
      <c r="O269" s="14">
        <f>IF(COUNTIF(Assumptions!$A$25:$A$27,A269)&gt;0,1,0)</f>
        <v>0</v>
      </c>
      <c r="P269" s="14">
        <f>IF(COUNTIF(Assumptions!$B$25:$B$26,A269)&gt;0,1,0)</f>
        <v>0</v>
      </c>
      <c r="Q269" s="14">
        <f>IF(COUNTIF(Assumptions!$C$25:$C$25,A269)&gt;0,1,0)</f>
        <v>0</v>
      </c>
      <c r="R269" s="17">
        <f t="shared" si="25"/>
        <v>0</v>
      </c>
      <c r="S269" s="15" t="str">
        <f>IFERROR(VLOOKUP(A269,Assumptions!$A$31:$B$33,2,0),"")</f>
        <v/>
      </c>
      <c r="T269" s="15">
        <f t="shared" si="26"/>
        <v>18.21</v>
      </c>
      <c r="U269" s="15">
        <f t="shared" si="27"/>
        <v>53118.57</v>
      </c>
      <c r="V269" s="15">
        <f t="shared" si="28"/>
        <v>53118.57</v>
      </c>
      <c r="W269" s="15">
        <f t="shared" si="29"/>
        <v>0</v>
      </c>
    </row>
    <row r="270" spans="1:23" ht="15" customHeight="1" x14ac:dyDescent="0.2">
      <c r="A270" s="14" t="s">
        <v>2442</v>
      </c>
      <c r="B270" s="14" t="s">
        <v>2443</v>
      </c>
      <c r="C270" s="14" t="s">
        <v>2003</v>
      </c>
      <c r="D270" s="14" t="s">
        <v>46</v>
      </c>
      <c r="E270" s="14" t="s">
        <v>2014</v>
      </c>
      <c r="F270" s="14">
        <v>1987</v>
      </c>
      <c r="G270" s="15">
        <v>319.51</v>
      </c>
      <c r="H270" s="16">
        <v>46009</v>
      </c>
      <c r="I270" s="16">
        <v>46036</v>
      </c>
      <c r="J270" s="16"/>
      <c r="K270" s="14" t="s">
        <v>2004</v>
      </c>
      <c r="L270" s="16">
        <f>IF(D270="Packaging","",IF(ISNUMBER(J270),J270,IF(ISNUMBER(I270),EDATE(I270,VLOOKUP(D270,Assumptions!$A$10:$B$16,2,0)),"")))</f>
        <v>46309</v>
      </c>
      <c r="M270" s="14">
        <f>IF(ISNUMBER(L270),L270-Assumptions!$B$5,"")</f>
        <v>287</v>
      </c>
      <c r="N270" s="17">
        <f t="shared" si="24"/>
        <v>0</v>
      </c>
      <c r="O270" s="14">
        <f>IF(COUNTIF(Assumptions!$A$25:$A$27,A270)&gt;0,1,0)</f>
        <v>0</v>
      </c>
      <c r="P270" s="14">
        <f>IF(COUNTIF(Assumptions!$B$25:$B$26,A270)&gt;0,1,0)</f>
        <v>0</v>
      </c>
      <c r="Q270" s="14">
        <f>IF(COUNTIF(Assumptions!$C$25:$C$25,A270)&gt;0,1,0)</f>
        <v>0</v>
      </c>
      <c r="R270" s="17">
        <f t="shared" si="25"/>
        <v>0</v>
      </c>
      <c r="S270" s="15" t="str">
        <f>IFERROR(VLOOKUP(A270,Assumptions!$A$31:$B$33,2,0),"")</f>
        <v/>
      </c>
      <c r="T270" s="15">
        <f t="shared" si="26"/>
        <v>319.51</v>
      </c>
      <c r="U270" s="15">
        <f t="shared" si="27"/>
        <v>634866.37</v>
      </c>
      <c r="V270" s="15">
        <f t="shared" si="28"/>
        <v>634866.37</v>
      </c>
      <c r="W270" s="15">
        <f t="shared" si="29"/>
        <v>0</v>
      </c>
    </row>
    <row r="271" spans="1:23" ht="15" customHeight="1" x14ac:dyDescent="0.2">
      <c r="A271" s="14" t="s">
        <v>2444</v>
      </c>
      <c r="B271" s="14" t="s">
        <v>2445</v>
      </c>
      <c r="C271" s="14" t="s">
        <v>1997</v>
      </c>
      <c r="D271" s="14" t="s">
        <v>45</v>
      </c>
      <c r="E271" s="14" t="s">
        <v>1988</v>
      </c>
      <c r="F271" s="14">
        <v>1339</v>
      </c>
      <c r="G271" s="15">
        <v>307.56</v>
      </c>
      <c r="H271" s="16">
        <v>45965</v>
      </c>
      <c r="I271" s="16">
        <v>46114</v>
      </c>
      <c r="J271" s="16">
        <v>46297</v>
      </c>
      <c r="K271" s="14" t="s">
        <v>2021</v>
      </c>
      <c r="L271" s="16">
        <f>IF(D271="Packaging","",IF(ISNUMBER(J271),J271,IF(ISNUMBER(I271),EDATE(I271,VLOOKUP(D271,Assumptions!$A$10:$B$16,2,0)),"")))</f>
        <v>46297</v>
      </c>
      <c r="M271" s="14">
        <f>IF(ISNUMBER(L271),L271-Assumptions!$B$5,"")</f>
        <v>275</v>
      </c>
      <c r="N271" s="17">
        <f t="shared" si="24"/>
        <v>0</v>
      </c>
      <c r="O271" s="14">
        <f>IF(COUNTIF(Assumptions!$A$25:$A$27,A271)&gt;0,1,0)</f>
        <v>0</v>
      </c>
      <c r="P271" s="14">
        <f>IF(COUNTIF(Assumptions!$B$25:$B$26,A271)&gt;0,1,0)</f>
        <v>0</v>
      </c>
      <c r="Q271" s="14">
        <f>IF(COUNTIF(Assumptions!$C$25:$C$25,A271)&gt;0,1,0)</f>
        <v>0</v>
      </c>
      <c r="R271" s="17">
        <f t="shared" si="25"/>
        <v>0</v>
      </c>
      <c r="S271" s="15" t="str">
        <f>IFERROR(VLOOKUP(A271,Assumptions!$A$31:$B$33,2,0),"")</f>
        <v/>
      </c>
      <c r="T271" s="15">
        <f t="shared" si="26"/>
        <v>307.56</v>
      </c>
      <c r="U271" s="15">
        <f t="shared" si="27"/>
        <v>411822.84</v>
      </c>
      <c r="V271" s="15">
        <f t="shared" si="28"/>
        <v>411822.84</v>
      </c>
      <c r="W271" s="15">
        <f t="shared" si="29"/>
        <v>0</v>
      </c>
    </row>
    <row r="272" spans="1:23" ht="15" customHeight="1" x14ac:dyDescent="0.2">
      <c r="A272" s="14" t="s">
        <v>2446</v>
      </c>
      <c r="B272" s="14" t="s">
        <v>2447</v>
      </c>
      <c r="C272" s="14" t="s">
        <v>2018</v>
      </c>
      <c r="D272" s="14" t="s">
        <v>36</v>
      </c>
      <c r="E272" s="14" t="s">
        <v>1988</v>
      </c>
      <c r="F272" s="14">
        <v>812</v>
      </c>
      <c r="G272" s="15">
        <v>142.47999999999999</v>
      </c>
      <c r="H272" s="16">
        <v>45993</v>
      </c>
      <c r="I272" s="16">
        <v>45967</v>
      </c>
      <c r="J272" s="16">
        <v>46697</v>
      </c>
      <c r="K272" s="14" t="s">
        <v>2030</v>
      </c>
      <c r="L272" s="16">
        <f>IF(D272="Packaging","",IF(ISNUMBER(J272),J272,IF(ISNUMBER(I272),EDATE(I272,VLOOKUP(D272,Assumptions!$A$10:$B$16,2,0)),"")))</f>
        <v>46697</v>
      </c>
      <c r="M272" s="14">
        <f>IF(ISNUMBER(L272),L272-Assumptions!$B$5,"")</f>
        <v>675</v>
      </c>
      <c r="N272" s="17">
        <f t="shared" si="24"/>
        <v>0</v>
      </c>
      <c r="O272" s="14">
        <f>IF(COUNTIF(Assumptions!$A$25:$A$27,A272)&gt;0,1,0)</f>
        <v>0</v>
      </c>
      <c r="P272" s="14">
        <f>IF(COUNTIF(Assumptions!$B$25:$B$26,A272)&gt;0,1,0)</f>
        <v>0</v>
      </c>
      <c r="Q272" s="14">
        <f>IF(COUNTIF(Assumptions!$C$25:$C$25,A272)&gt;0,1,0)</f>
        <v>0</v>
      </c>
      <c r="R272" s="17">
        <f t="shared" si="25"/>
        <v>0</v>
      </c>
      <c r="S272" s="15" t="str">
        <f>IFERROR(VLOOKUP(A272,Assumptions!$A$31:$B$33,2,0),"")</f>
        <v/>
      </c>
      <c r="T272" s="15">
        <f t="shared" si="26"/>
        <v>142.47999999999999</v>
      </c>
      <c r="U272" s="15">
        <f t="shared" si="27"/>
        <v>115693.75999999999</v>
      </c>
      <c r="V272" s="15">
        <f t="shared" si="28"/>
        <v>115693.75999999999</v>
      </c>
      <c r="W272" s="15">
        <f t="shared" si="29"/>
        <v>0</v>
      </c>
    </row>
    <row r="273" spans="1:23" ht="15" customHeight="1" x14ac:dyDescent="0.2">
      <c r="A273" s="14" t="s">
        <v>2448</v>
      </c>
      <c r="B273" s="14" t="s">
        <v>2449</v>
      </c>
      <c r="C273" s="14" t="s">
        <v>2036</v>
      </c>
      <c r="D273" s="14" t="s">
        <v>45</v>
      </c>
      <c r="E273" s="14" t="s">
        <v>1988</v>
      </c>
      <c r="F273" s="14">
        <v>2955</v>
      </c>
      <c r="G273" s="15">
        <v>209.06</v>
      </c>
      <c r="H273" s="16">
        <v>45964</v>
      </c>
      <c r="I273" s="16">
        <v>46682</v>
      </c>
      <c r="J273" s="16">
        <v>46865</v>
      </c>
      <c r="K273" s="14" t="s">
        <v>2021</v>
      </c>
      <c r="L273" s="16">
        <f>IF(D273="Packaging","",IF(ISNUMBER(J273),J273,IF(ISNUMBER(I273),EDATE(I273,VLOOKUP(D273,Assumptions!$A$10:$B$16,2,0)),"")))</f>
        <v>46865</v>
      </c>
      <c r="M273" s="14">
        <f>IF(ISNUMBER(L273),L273-Assumptions!$B$5,"")</f>
        <v>843</v>
      </c>
      <c r="N273" s="17">
        <f t="shared" si="24"/>
        <v>0</v>
      </c>
      <c r="O273" s="14">
        <f>IF(COUNTIF(Assumptions!$A$25:$A$27,A273)&gt;0,1,0)</f>
        <v>0</v>
      </c>
      <c r="P273" s="14">
        <f>IF(COUNTIF(Assumptions!$B$25:$B$26,A273)&gt;0,1,0)</f>
        <v>0</v>
      </c>
      <c r="Q273" s="14">
        <f>IF(COUNTIF(Assumptions!$C$25:$C$25,A273)&gt;0,1,0)</f>
        <v>0</v>
      </c>
      <c r="R273" s="17">
        <f t="shared" si="25"/>
        <v>0</v>
      </c>
      <c r="S273" s="15" t="str">
        <f>IFERROR(VLOOKUP(A273,Assumptions!$A$31:$B$33,2,0),"")</f>
        <v/>
      </c>
      <c r="T273" s="15">
        <f t="shared" si="26"/>
        <v>209.06</v>
      </c>
      <c r="U273" s="15">
        <f t="shared" si="27"/>
        <v>617772.30000000005</v>
      </c>
      <c r="V273" s="15">
        <f t="shared" si="28"/>
        <v>617772.30000000005</v>
      </c>
      <c r="W273" s="15">
        <f t="shared" si="29"/>
        <v>0</v>
      </c>
    </row>
    <row r="274" spans="1:23" ht="15" customHeight="1" x14ac:dyDescent="0.2">
      <c r="A274" s="14" t="s">
        <v>2450</v>
      </c>
      <c r="B274" s="14" t="s">
        <v>2451</v>
      </c>
      <c r="C274" s="14" t="s">
        <v>2066</v>
      </c>
      <c r="D274" s="14" t="s">
        <v>42</v>
      </c>
      <c r="E274" s="14" t="s">
        <v>1988</v>
      </c>
      <c r="F274" s="14">
        <v>1114</v>
      </c>
      <c r="G274" s="15">
        <v>418.06</v>
      </c>
      <c r="H274" s="16">
        <v>45990</v>
      </c>
      <c r="I274" s="16">
        <v>46373</v>
      </c>
      <c r="J274" s="16"/>
      <c r="K274" s="14" t="s">
        <v>2015</v>
      </c>
      <c r="L274" s="16">
        <f>IF(D274="Packaging","",IF(ISNUMBER(J274),J274,IF(ISNUMBER(I274),EDATE(I274,VLOOKUP(D274,Assumptions!$A$10:$B$16,2,0)),"")))</f>
        <v>46738</v>
      </c>
      <c r="M274" s="14">
        <f>IF(ISNUMBER(L274),L274-Assumptions!$B$5,"")</f>
        <v>716</v>
      </c>
      <c r="N274" s="17">
        <f t="shared" si="24"/>
        <v>0</v>
      </c>
      <c r="O274" s="14">
        <f>IF(COUNTIF(Assumptions!$A$25:$A$27,A274)&gt;0,1,0)</f>
        <v>0</v>
      </c>
      <c r="P274" s="14">
        <f>IF(COUNTIF(Assumptions!$B$25:$B$26,A274)&gt;0,1,0)</f>
        <v>0</v>
      </c>
      <c r="Q274" s="14">
        <f>IF(COUNTIF(Assumptions!$C$25:$C$25,A274)&gt;0,1,0)</f>
        <v>0</v>
      </c>
      <c r="R274" s="17">
        <f t="shared" si="25"/>
        <v>0</v>
      </c>
      <c r="S274" s="15" t="str">
        <f>IFERROR(VLOOKUP(A274,Assumptions!$A$31:$B$33,2,0),"")</f>
        <v/>
      </c>
      <c r="T274" s="15">
        <f t="shared" si="26"/>
        <v>418.06</v>
      </c>
      <c r="U274" s="15">
        <f t="shared" si="27"/>
        <v>465718.84</v>
      </c>
      <c r="V274" s="15">
        <f t="shared" si="28"/>
        <v>465718.84</v>
      </c>
      <c r="W274" s="15">
        <f t="shared" si="29"/>
        <v>0</v>
      </c>
    </row>
    <row r="275" spans="1:23" ht="15" customHeight="1" x14ac:dyDescent="0.2">
      <c r="A275" s="14" t="s">
        <v>2452</v>
      </c>
      <c r="B275" s="14" t="s">
        <v>2453</v>
      </c>
      <c r="C275" s="14" t="s">
        <v>2107</v>
      </c>
      <c r="D275" s="14" t="s">
        <v>42</v>
      </c>
      <c r="E275" s="14" t="s">
        <v>2037</v>
      </c>
      <c r="F275" s="14">
        <v>1402</v>
      </c>
      <c r="G275" s="15">
        <v>387.55</v>
      </c>
      <c r="H275" s="16">
        <v>45996</v>
      </c>
      <c r="I275" s="16">
        <v>46398</v>
      </c>
      <c r="J275" s="16">
        <v>46763</v>
      </c>
      <c r="K275" s="14" t="s">
        <v>2015</v>
      </c>
      <c r="L275" s="16">
        <f>IF(D275="Packaging","",IF(ISNUMBER(J275),J275,IF(ISNUMBER(I275),EDATE(I275,VLOOKUP(D275,Assumptions!$A$10:$B$16,2,0)),"")))</f>
        <v>46763</v>
      </c>
      <c r="M275" s="14">
        <f>IF(ISNUMBER(L275),L275-Assumptions!$B$5,"")</f>
        <v>741</v>
      </c>
      <c r="N275" s="17">
        <f t="shared" si="24"/>
        <v>0</v>
      </c>
      <c r="O275" s="14">
        <f>IF(COUNTIF(Assumptions!$A$25:$A$27,A275)&gt;0,1,0)</f>
        <v>0</v>
      </c>
      <c r="P275" s="14">
        <f>IF(COUNTIF(Assumptions!$B$25:$B$26,A275)&gt;0,1,0)</f>
        <v>0</v>
      </c>
      <c r="Q275" s="14">
        <f>IF(COUNTIF(Assumptions!$C$25:$C$25,A275)&gt;0,1,0)</f>
        <v>0</v>
      </c>
      <c r="R275" s="17">
        <f t="shared" si="25"/>
        <v>0</v>
      </c>
      <c r="S275" s="15" t="str">
        <f>IFERROR(VLOOKUP(A275,Assumptions!$A$31:$B$33,2,0),"")</f>
        <v/>
      </c>
      <c r="T275" s="15">
        <f t="shared" si="26"/>
        <v>387.55</v>
      </c>
      <c r="U275" s="15">
        <f t="shared" si="27"/>
        <v>543345.1</v>
      </c>
      <c r="V275" s="15">
        <f t="shared" si="28"/>
        <v>543345.1</v>
      </c>
      <c r="W275" s="15">
        <f t="shared" si="29"/>
        <v>0</v>
      </c>
    </row>
    <row r="276" spans="1:23" ht="15" customHeight="1" x14ac:dyDescent="0.2">
      <c r="A276" s="14" t="s">
        <v>2454</v>
      </c>
      <c r="B276" s="14" t="s">
        <v>2455</v>
      </c>
      <c r="C276" s="14" t="s">
        <v>2107</v>
      </c>
      <c r="D276" s="14" t="s">
        <v>42</v>
      </c>
      <c r="E276" s="14" t="s">
        <v>1993</v>
      </c>
      <c r="F276" s="14">
        <v>439</v>
      </c>
      <c r="G276" s="15">
        <v>354.14</v>
      </c>
      <c r="H276" s="16">
        <v>45954</v>
      </c>
      <c r="I276" s="16">
        <v>45920</v>
      </c>
      <c r="J276" s="16">
        <v>46285</v>
      </c>
      <c r="K276" s="14" t="s">
        <v>1994</v>
      </c>
      <c r="L276" s="16">
        <f>IF(D276="Packaging","",IF(ISNUMBER(J276),J276,IF(ISNUMBER(I276),EDATE(I276,VLOOKUP(D276,Assumptions!$A$10:$B$16,2,0)),"")))</f>
        <v>46285</v>
      </c>
      <c r="M276" s="14">
        <f>IF(ISNUMBER(L276),L276-Assumptions!$B$5,"")</f>
        <v>263</v>
      </c>
      <c r="N276" s="17">
        <f t="shared" si="24"/>
        <v>0</v>
      </c>
      <c r="O276" s="14">
        <f>IF(COUNTIF(Assumptions!$A$25:$A$27,A276)&gt;0,1,0)</f>
        <v>0</v>
      </c>
      <c r="P276" s="14">
        <f>IF(COUNTIF(Assumptions!$B$25:$B$26,A276)&gt;0,1,0)</f>
        <v>0</v>
      </c>
      <c r="Q276" s="14">
        <f>IF(COUNTIF(Assumptions!$C$25:$C$25,A276)&gt;0,1,0)</f>
        <v>0</v>
      </c>
      <c r="R276" s="17">
        <f t="shared" si="25"/>
        <v>0</v>
      </c>
      <c r="S276" s="15" t="str">
        <f>IFERROR(VLOOKUP(A276,Assumptions!$A$31:$B$33,2,0),"")</f>
        <v/>
      </c>
      <c r="T276" s="15">
        <f t="shared" si="26"/>
        <v>354.14</v>
      </c>
      <c r="U276" s="15">
        <f t="shared" si="27"/>
        <v>155467.46</v>
      </c>
      <c r="V276" s="15">
        <f t="shared" si="28"/>
        <v>155467.46</v>
      </c>
      <c r="W276" s="15">
        <f t="shared" si="29"/>
        <v>0</v>
      </c>
    </row>
    <row r="277" spans="1:23" ht="15" customHeight="1" x14ac:dyDescent="0.2">
      <c r="A277" s="14" t="s">
        <v>770</v>
      </c>
      <c r="B277" s="14" t="s">
        <v>769</v>
      </c>
      <c r="C277" s="14" t="s">
        <v>2192</v>
      </c>
      <c r="D277" s="14" t="s">
        <v>39</v>
      </c>
      <c r="E277" s="14" t="s">
        <v>2037</v>
      </c>
      <c r="F277" s="14">
        <v>2587</v>
      </c>
      <c r="G277" s="15">
        <v>79.989999999999995</v>
      </c>
      <c r="H277" s="16">
        <v>45713</v>
      </c>
      <c r="I277" s="16">
        <v>45623</v>
      </c>
      <c r="J277" s="16"/>
      <c r="K277" s="14" t="s">
        <v>1994</v>
      </c>
      <c r="L277" s="16">
        <f>IF(D277="Packaging","",IF(ISNUMBER(J277),J277,IF(ISNUMBER(I277),EDATE(I277,VLOOKUP(D277,Assumptions!$A$10:$B$16,2,0)),"")))</f>
        <v>46718</v>
      </c>
      <c r="M277" s="14">
        <f>IF(ISNUMBER(L277),L277-Assumptions!$B$5,"")</f>
        <v>696</v>
      </c>
      <c r="N277" s="17">
        <f t="shared" si="24"/>
        <v>0</v>
      </c>
      <c r="O277" s="14">
        <f>IF(COUNTIF(Assumptions!$A$25:$A$27,A277)&gt;0,1,0)</f>
        <v>0</v>
      </c>
      <c r="P277" s="14">
        <f>IF(COUNTIF(Assumptions!$B$25:$B$26,A277)&gt;0,1,0)</f>
        <v>0</v>
      </c>
      <c r="Q277" s="14">
        <f>IF(COUNTIF(Assumptions!$C$25:$C$25,A277)&gt;0,1,0)</f>
        <v>0</v>
      </c>
      <c r="R277" s="17">
        <f t="shared" si="25"/>
        <v>0</v>
      </c>
      <c r="S277" s="15" t="str">
        <f>IFERROR(VLOOKUP(A277,Assumptions!$A$31:$B$33,2,0),"")</f>
        <v/>
      </c>
      <c r="T277" s="15">
        <f t="shared" si="26"/>
        <v>79.989999999999995</v>
      </c>
      <c r="U277" s="15">
        <f t="shared" si="27"/>
        <v>206934.12999999998</v>
      </c>
      <c r="V277" s="15">
        <f t="shared" si="28"/>
        <v>206934.12999999998</v>
      </c>
      <c r="W277" s="15">
        <f t="shared" si="29"/>
        <v>0</v>
      </c>
    </row>
    <row r="278" spans="1:23" ht="15" customHeight="1" x14ac:dyDescent="0.2">
      <c r="A278" s="14" t="s">
        <v>780</v>
      </c>
      <c r="B278" s="14" t="s">
        <v>779</v>
      </c>
      <c r="C278" s="14" t="s">
        <v>2119</v>
      </c>
      <c r="D278" s="14" t="s">
        <v>39</v>
      </c>
      <c r="E278" s="14" t="s">
        <v>1988</v>
      </c>
      <c r="F278" s="14">
        <v>2836</v>
      </c>
      <c r="G278" s="15">
        <v>125.92</v>
      </c>
      <c r="H278" s="16">
        <v>45368</v>
      </c>
      <c r="I278" s="16">
        <v>45330</v>
      </c>
      <c r="J278" s="16"/>
      <c r="K278" s="14" t="s">
        <v>2052</v>
      </c>
      <c r="L278" s="16">
        <f>IF(D278="Packaging","",IF(ISNUMBER(J278),J278,IF(ISNUMBER(I278),EDATE(I278,VLOOKUP(D278,Assumptions!$A$10:$B$16,2,0)),"")))</f>
        <v>46426</v>
      </c>
      <c r="M278" s="14">
        <f>IF(ISNUMBER(L278),L278-Assumptions!$B$5,"")</f>
        <v>404</v>
      </c>
      <c r="N278" s="17">
        <f t="shared" si="24"/>
        <v>0</v>
      </c>
      <c r="O278" s="14">
        <f>IF(COUNTIF(Assumptions!$A$25:$A$27,A278)&gt;0,1,0)</f>
        <v>0</v>
      </c>
      <c r="P278" s="14">
        <f>IF(COUNTIF(Assumptions!$B$25:$B$26,A278)&gt;0,1,0)</f>
        <v>0</v>
      </c>
      <c r="Q278" s="14">
        <f>IF(COUNTIF(Assumptions!$C$25:$C$25,A278)&gt;0,1,0)</f>
        <v>0</v>
      </c>
      <c r="R278" s="17">
        <f t="shared" si="25"/>
        <v>0</v>
      </c>
      <c r="S278" s="15" t="str">
        <f>IFERROR(VLOOKUP(A278,Assumptions!$A$31:$B$33,2,0),"")</f>
        <v/>
      </c>
      <c r="T278" s="15">
        <f t="shared" si="26"/>
        <v>125.92</v>
      </c>
      <c r="U278" s="15">
        <f t="shared" si="27"/>
        <v>357109.12</v>
      </c>
      <c r="V278" s="15">
        <f t="shared" si="28"/>
        <v>357109.12</v>
      </c>
      <c r="W278" s="15">
        <f t="shared" si="29"/>
        <v>0</v>
      </c>
    </row>
    <row r="279" spans="1:23" ht="15" customHeight="1" x14ac:dyDescent="0.2">
      <c r="A279" s="14" t="s">
        <v>32</v>
      </c>
      <c r="B279" s="14" t="s">
        <v>2456</v>
      </c>
      <c r="C279" s="14" t="s">
        <v>2108</v>
      </c>
      <c r="D279" s="14" t="s">
        <v>39</v>
      </c>
      <c r="E279" s="14" t="s">
        <v>1993</v>
      </c>
      <c r="F279" s="14">
        <v>3792</v>
      </c>
      <c r="G279" s="15">
        <v>170.39</v>
      </c>
      <c r="H279" s="16">
        <v>45962</v>
      </c>
      <c r="I279" s="16"/>
      <c r="J279" s="16"/>
      <c r="K279" s="14" t="s">
        <v>2052</v>
      </c>
      <c r="L279" s="16" t="str">
        <f>IF(D279="Packaging","",IF(ISNUMBER(J279),J279,IF(ISNUMBER(I279),EDATE(I279,VLOOKUP(D279,Assumptions!$A$10:$B$16,2,0)),"")))</f>
        <v/>
      </c>
      <c r="M279" s="14" t="str">
        <f>IF(ISNUMBER(L279),L279-Assumptions!$B$5,"")</f>
        <v/>
      </c>
      <c r="N279" s="17">
        <f t="shared" si="24"/>
        <v>0</v>
      </c>
      <c r="O279" s="14">
        <f>IF(COUNTIF(Assumptions!$A$25:$A$27,A279)&gt;0,1,0)</f>
        <v>0</v>
      </c>
      <c r="P279" s="14">
        <f>IF(COUNTIF(Assumptions!$B$25:$B$26,A279)&gt;0,1,0)</f>
        <v>1</v>
      </c>
      <c r="Q279" s="14">
        <f>IF(COUNTIF(Assumptions!$C$25:$C$25,A279)&gt;0,1,0)</f>
        <v>0</v>
      </c>
      <c r="R279" s="17">
        <f t="shared" si="25"/>
        <v>0.5</v>
      </c>
      <c r="S279" s="15" t="str">
        <f>IFERROR(VLOOKUP(A279,Assumptions!$A$31:$B$33,2,0),"")</f>
        <v/>
      </c>
      <c r="T279" s="15">
        <f t="shared" si="26"/>
        <v>170.39</v>
      </c>
      <c r="U279" s="15">
        <f t="shared" si="27"/>
        <v>646118.88</v>
      </c>
      <c r="V279" s="15">
        <f t="shared" si="28"/>
        <v>323059.44</v>
      </c>
      <c r="W279" s="15">
        <f t="shared" si="29"/>
        <v>323059.44</v>
      </c>
    </row>
    <row r="280" spans="1:23" ht="15" customHeight="1" x14ac:dyDescent="0.2">
      <c r="A280" s="14" t="s">
        <v>204</v>
      </c>
      <c r="B280" s="14" t="s">
        <v>203</v>
      </c>
      <c r="C280" s="14" t="s">
        <v>2061</v>
      </c>
      <c r="D280" s="14" t="s">
        <v>44</v>
      </c>
      <c r="E280" s="14" t="s">
        <v>1988</v>
      </c>
      <c r="F280" s="14">
        <v>4731</v>
      </c>
      <c r="G280" s="15">
        <v>144.01</v>
      </c>
      <c r="H280" s="16">
        <v>45719</v>
      </c>
      <c r="I280" s="16">
        <v>45712</v>
      </c>
      <c r="J280" s="16"/>
      <c r="K280" s="14" t="s">
        <v>1989</v>
      </c>
      <c r="L280" s="16">
        <f>IF(D280="Packaging","",IF(ISNUMBER(J280),J280,IF(ISNUMBER(I280),EDATE(I280,VLOOKUP(D280,Assumptions!$A$10:$B$16,2,0)),"")))</f>
        <v>46258</v>
      </c>
      <c r="M280" s="14">
        <f>IF(ISNUMBER(L280),L280-Assumptions!$B$5,"")</f>
        <v>236</v>
      </c>
      <c r="N280" s="17">
        <f t="shared" si="24"/>
        <v>0</v>
      </c>
      <c r="O280" s="14">
        <f>IF(COUNTIF(Assumptions!$A$25:$A$27,A280)&gt;0,1,0)</f>
        <v>0</v>
      </c>
      <c r="P280" s="14">
        <f>IF(COUNTIF(Assumptions!$B$25:$B$26,A280)&gt;0,1,0)</f>
        <v>0</v>
      </c>
      <c r="Q280" s="14">
        <f>IF(COUNTIF(Assumptions!$C$25:$C$25,A280)&gt;0,1,0)</f>
        <v>0</v>
      </c>
      <c r="R280" s="17">
        <f t="shared" si="25"/>
        <v>0</v>
      </c>
      <c r="S280" s="15" t="str">
        <f>IFERROR(VLOOKUP(A280,Assumptions!$A$31:$B$33,2,0),"")</f>
        <v/>
      </c>
      <c r="T280" s="15">
        <f t="shared" si="26"/>
        <v>144.01</v>
      </c>
      <c r="U280" s="15">
        <f t="shared" si="27"/>
        <v>681311.30999999994</v>
      </c>
      <c r="V280" s="15">
        <f t="shared" si="28"/>
        <v>681311.30999999994</v>
      </c>
      <c r="W280" s="15">
        <f t="shared" si="29"/>
        <v>0</v>
      </c>
    </row>
    <row r="281" spans="1:23" ht="15" customHeight="1" x14ac:dyDescent="0.2">
      <c r="A281" s="14" t="s">
        <v>2457</v>
      </c>
      <c r="B281" s="14" t="s">
        <v>2458</v>
      </c>
      <c r="C281" s="14" t="s">
        <v>2042</v>
      </c>
      <c r="D281" s="14" t="s">
        <v>47</v>
      </c>
      <c r="E281" s="14" t="s">
        <v>2037</v>
      </c>
      <c r="F281" s="14">
        <v>1612</v>
      </c>
      <c r="G281" s="15">
        <v>283.52</v>
      </c>
      <c r="H281" s="16">
        <v>45764</v>
      </c>
      <c r="I281" s="16">
        <v>45733</v>
      </c>
      <c r="J281" s="16"/>
      <c r="K281" s="14" t="s">
        <v>2030</v>
      </c>
      <c r="L281" s="16" t="str">
        <f>IF(D281="Packaging","",IF(ISNUMBER(J281),J281,IF(ISNUMBER(I281),EDATE(I281,VLOOKUP(D281,Assumptions!$A$10:$B$16,2,0)),"")))</f>
        <v/>
      </c>
      <c r="M281" s="14" t="str">
        <f>IF(ISNUMBER(L281),L281-Assumptions!$B$5,"")</f>
        <v/>
      </c>
      <c r="N281" s="17">
        <f t="shared" si="24"/>
        <v>0</v>
      </c>
      <c r="O281" s="14">
        <f>IF(COUNTIF(Assumptions!$A$25:$A$27,A281)&gt;0,1,0)</f>
        <v>0</v>
      </c>
      <c r="P281" s="14">
        <f>IF(COUNTIF(Assumptions!$B$25:$B$26,A281)&gt;0,1,0)</f>
        <v>0</v>
      </c>
      <c r="Q281" s="14">
        <f>IF(COUNTIF(Assumptions!$C$25:$C$25,A281)&gt;0,1,0)</f>
        <v>0</v>
      </c>
      <c r="R281" s="17">
        <f t="shared" si="25"/>
        <v>0</v>
      </c>
      <c r="S281" s="15" t="str">
        <f>IFERROR(VLOOKUP(A281,Assumptions!$A$31:$B$33,2,0),"")</f>
        <v/>
      </c>
      <c r="T281" s="15">
        <f t="shared" si="26"/>
        <v>283.52</v>
      </c>
      <c r="U281" s="15">
        <f t="shared" si="27"/>
        <v>457034.23999999999</v>
      </c>
      <c r="V281" s="15">
        <f t="shared" si="28"/>
        <v>457034.23999999999</v>
      </c>
      <c r="W281" s="15">
        <f t="shared" si="29"/>
        <v>0</v>
      </c>
    </row>
    <row r="282" spans="1:23" ht="15" customHeight="1" x14ac:dyDescent="0.2">
      <c r="A282" s="14" t="s">
        <v>2459</v>
      </c>
      <c r="B282" s="14" t="s">
        <v>2460</v>
      </c>
      <c r="C282" s="14" t="s">
        <v>2107</v>
      </c>
      <c r="D282" s="14" t="s">
        <v>42</v>
      </c>
      <c r="E282" s="14" t="s">
        <v>2037</v>
      </c>
      <c r="F282" s="14">
        <v>3306</v>
      </c>
      <c r="G282" s="15">
        <v>100.74</v>
      </c>
      <c r="H282" s="16">
        <v>45990</v>
      </c>
      <c r="I282" s="16">
        <v>45975</v>
      </c>
      <c r="J282" s="16"/>
      <c r="K282" s="14" t="s">
        <v>2015</v>
      </c>
      <c r="L282" s="16">
        <f>IF(D282="Packaging","",IF(ISNUMBER(J282),J282,IF(ISNUMBER(I282),EDATE(I282,VLOOKUP(D282,Assumptions!$A$10:$B$16,2,0)),"")))</f>
        <v>46340</v>
      </c>
      <c r="M282" s="14">
        <f>IF(ISNUMBER(L282),L282-Assumptions!$B$5,"")</f>
        <v>318</v>
      </c>
      <c r="N282" s="17">
        <f t="shared" si="24"/>
        <v>0</v>
      </c>
      <c r="O282" s="14">
        <f>IF(COUNTIF(Assumptions!$A$25:$A$27,A282)&gt;0,1,0)</f>
        <v>0</v>
      </c>
      <c r="P282" s="14">
        <f>IF(COUNTIF(Assumptions!$B$25:$B$26,A282)&gt;0,1,0)</f>
        <v>0</v>
      </c>
      <c r="Q282" s="14">
        <f>IF(COUNTIF(Assumptions!$C$25:$C$25,A282)&gt;0,1,0)</f>
        <v>0</v>
      </c>
      <c r="R282" s="17">
        <f t="shared" si="25"/>
        <v>0</v>
      </c>
      <c r="S282" s="15" t="str">
        <f>IFERROR(VLOOKUP(A282,Assumptions!$A$31:$B$33,2,0),"")</f>
        <v/>
      </c>
      <c r="T282" s="15">
        <f t="shared" si="26"/>
        <v>100.74</v>
      </c>
      <c r="U282" s="15">
        <f t="shared" si="27"/>
        <v>333046.44</v>
      </c>
      <c r="V282" s="15">
        <f t="shared" si="28"/>
        <v>333046.44</v>
      </c>
      <c r="W282" s="15">
        <f t="shared" si="29"/>
        <v>0</v>
      </c>
    </row>
    <row r="283" spans="1:23" ht="15" customHeight="1" x14ac:dyDescent="0.2">
      <c r="A283" s="14" t="s">
        <v>2461</v>
      </c>
      <c r="B283" s="14" t="s">
        <v>2462</v>
      </c>
      <c r="C283" s="14" t="s">
        <v>1435</v>
      </c>
      <c r="D283" s="14" t="s">
        <v>36</v>
      </c>
      <c r="E283" s="14" t="s">
        <v>1988</v>
      </c>
      <c r="F283" s="14">
        <v>2294</v>
      </c>
      <c r="G283" s="15">
        <v>211.32</v>
      </c>
      <c r="H283" s="16">
        <v>45368</v>
      </c>
      <c r="I283" s="16">
        <v>45356</v>
      </c>
      <c r="J283" s="16">
        <v>46086</v>
      </c>
      <c r="K283" s="14" t="s">
        <v>2052</v>
      </c>
      <c r="L283" s="16">
        <f>IF(D283="Packaging","",IF(ISNUMBER(J283),J283,IF(ISNUMBER(I283),EDATE(I283,VLOOKUP(D283,Assumptions!$A$10:$B$16,2,0)),"")))</f>
        <v>46086</v>
      </c>
      <c r="M283" s="14">
        <f>IF(ISNUMBER(L283),L283-Assumptions!$B$5,"")</f>
        <v>64</v>
      </c>
      <c r="N283" s="17">
        <f t="shared" si="24"/>
        <v>0.5</v>
      </c>
      <c r="O283" s="14">
        <f>IF(COUNTIF(Assumptions!$A$25:$A$27,A283)&gt;0,1,0)</f>
        <v>0</v>
      </c>
      <c r="P283" s="14">
        <f>IF(COUNTIF(Assumptions!$B$25:$B$26,A283)&gt;0,1,0)</f>
        <v>0</v>
      </c>
      <c r="Q283" s="14">
        <f>IF(COUNTIF(Assumptions!$C$25:$C$25,A283)&gt;0,1,0)</f>
        <v>0</v>
      </c>
      <c r="R283" s="17">
        <f t="shared" si="25"/>
        <v>0.5</v>
      </c>
      <c r="S283" s="15" t="str">
        <f>IFERROR(VLOOKUP(A283,Assumptions!$A$31:$B$33,2,0),"")</f>
        <v/>
      </c>
      <c r="T283" s="15">
        <f t="shared" si="26"/>
        <v>211.32</v>
      </c>
      <c r="U283" s="15">
        <f t="shared" si="27"/>
        <v>484768.07999999996</v>
      </c>
      <c r="V283" s="15">
        <f t="shared" si="28"/>
        <v>242384.03999999998</v>
      </c>
      <c r="W283" s="15">
        <f t="shared" si="29"/>
        <v>242384.03999999998</v>
      </c>
    </row>
    <row r="284" spans="1:23" ht="15" customHeight="1" x14ac:dyDescent="0.2">
      <c r="A284" s="14" t="s">
        <v>796</v>
      </c>
      <c r="B284" s="14" t="s">
        <v>795</v>
      </c>
      <c r="C284" s="14" t="s">
        <v>2108</v>
      </c>
      <c r="D284" s="14" t="s">
        <v>39</v>
      </c>
      <c r="E284" s="14" t="s">
        <v>1993</v>
      </c>
      <c r="F284" s="14">
        <v>438</v>
      </c>
      <c r="G284" s="15">
        <v>161.35</v>
      </c>
      <c r="H284" s="16">
        <v>45725</v>
      </c>
      <c r="I284" s="16">
        <v>45682</v>
      </c>
      <c r="J284" s="16">
        <v>46777</v>
      </c>
      <c r="K284" s="14" t="s">
        <v>2021</v>
      </c>
      <c r="L284" s="16">
        <f>IF(D284="Packaging","",IF(ISNUMBER(J284),J284,IF(ISNUMBER(I284),EDATE(I284,VLOOKUP(D284,Assumptions!$A$10:$B$16,2,0)),"")))</f>
        <v>46777</v>
      </c>
      <c r="M284" s="14">
        <f>IF(ISNUMBER(L284),L284-Assumptions!$B$5,"")</f>
        <v>755</v>
      </c>
      <c r="N284" s="17">
        <f t="shared" si="24"/>
        <v>0</v>
      </c>
      <c r="O284" s="14">
        <f>IF(COUNTIF(Assumptions!$A$25:$A$27,A284)&gt;0,1,0)</f>
        <v>0</v>
      </c>
      <c r="P284" s="14">
        <f>IF(COUNTIF(Assumptions!$B$25:$B$26,A284)&gt;0,1,0)</f>
        <v>0</v>
      </c>
      <c r="Q284" s="14">
        <f>IF(COUNTIF(Assumptions!$C$25:$C$25,A284)&gt;0,1,0)</f>
        <v>0</v>
      </c>
      <c r="R284" s="17">
        <f t="shared" si="25"/>
        <v>0</v>
      </c>
      <c r="S284" s="15" t="str">
        <f>IFERROR(VLOOKUP(A284,Assumptions!$A$31:$B$33,2,0),"")</f>
        <v/>
      </c>
      <c r="T284" s="15">
        <f t="shared" si="26"/>
        <v>161.35</v>
      </c>
      <c r="U284" s="15">
        <f t="shared" si="27"/>
        <v>70671.3</v>
      </c>
      <c r="V284" s="15">
        <f t="shared" si="28"/>
        <v>70671.3</v>
      </c>
      <c r="W284" s="15">
        <f t="shared" si="29"/>
        <v>0</v>
      </c>
    </row>
    <row r="285" spans="1:23" ht="15" customHeight="1" x14ac:dyDescent="0.2">
      <c r="A285" s="14" t="s">
        <v>821</v>
      </c>
      <c r="B285" s="14" t="s">
        <v>820</v>
      </c>
      <c r="C285" s="14" t="s">
        <v>2119</v>
      </c>
      <c r="D285" s="14" t="s">
        <v>39</v>
      </c>
      <c r="E285" s="14" t="s">
        <v>2037</v>
      </c>
      <c r="F285" s="14">
        <v>4407</v>
      </c>
      <c r="G285" s="15">
        <v>238.7</v>
      </c>
      <c r="H285" s="16">
        <v>45628</v>
      </c>
      <c r="I285" s="16">
        <v>45571</v>
      </c>
      <c r="J285" s="16"/>
      <c r="K285" s="14" t="s">
        <v>2004</v>
      </c>
      <c r="L285" s="16">
        <f>IF(D285="Packaging","",IF(ISNUMBER(J285),J285,IF(ISNUMBER(I285),EDATE(I285,VLOOKUP(D285,Assumptions!$A$10:$B$16,2,0)),"")))</f>
        <v>46666</v>
      </c>
      <c r="M285" s="14">
        <f>IF(ISNUMBER(L285),L285-Assumptions!$B$5,"")</f>
        <v>644</v>
      </c>
      <c r="N285" s="17">
        <f t="shared" si="24"/>
        <v>0</v>
      </c>
      <c r="O285" s="14">
        <f>IF(COUNTIF(Assumptions!$A$25:$A$27,A285)&gt;0,1,0)</f>
        <v>0</v>
      </c>
      <c r="P285" s="14">
        <f>IF(COUNTIF(Assumptions!$B$25:$B$26,A285)&gt;0,1,0)</f>
        <v>0</v>
      </c>
      <c r="Q285" s="14">
        <f>IF(COUNTIF(Assumptions!$C$25:$C$25,A285)&gt;0,1,0)</f>
        <v>0</v>
      </c>
      <c r="R285" s="17">
        <f t="shared" si="25"/>
        <v>0</v>
      </c>
      <c r="S285" s="15" t="str">
        <f>IFERROR(VLOOKUP(A285,Assumptions!$A$31:$B$33,2,0),"")</f>
        <v/>
      </c>
      <c r="T285" s="15">
        <f t="shared" si="26"/>
        <v>238.7</v>
      </c>
      <c r="U285" s="15">
        <f t="shared" si="27"/>
        <v>1051950.8999999999</v>
      </c>
      <c r="V285" s="15">
        <f t="shared" si="28"/>
        <v>1051950.8999999999</v>
      </c>
      <c r="W285" s="15">
        <f t="shared" si="29"/>
        <v>0</v>
      </c>
    </row>
    <row r="286" spans="1:23" ht="15" customHeight="1" x14ac:dyDescent="0.2">
      <c r="A286" s="14" t="s">
        <v>2463</v>
      </c>
      <c r="B286" s="14" t="s">
        <v>2464</v>
      </c>
      <c r="C286" s="14" t="s">
        <v>2007</v>
      </c>
      <c r="D286" s="14" t="s">
        <v>47</v>
      </c>
      <c r="E286" s="14" t="s">
        <v>2014</v>
      </c>
      <c r="F286" s="14">
        <v>2869</v>
      </c>
      <c r="G286" s="15">
        <v>63.48</v>
      </c>
      <c r="H286" s="16">
        <v>45740</v>
      </c>
      <c r="I286" s="16">
        <v>45730</v>
      </c>
      <c r="J286" s="16"/>
      <c r="K286" s="14" t="s">
        <v>2004</v>
      </c>
      <c r="L286" s="16" t="str">
        <f>IF(D286="Packaging","",IF(ISNUMBER(J286),J286,IF(ISNUMBER(I286),EDATE(I286,VLOOKUP(D286,Assumptions!$A$10:$B$16,2,0)),"")))</f>
        <v/>
      </c>
      <c r="M286" s="14" t="str">
        <f>IF(ISNUMBER(L286),L286-Assumptions!$B$5,"")</f>
        <v/>
      </c>
      <c r="N286" s="17">
        <f t="shared" si="24"/>
        <v>0</v>
      </c>
      <c r="O286" s="14">
        <f>IF(COUNTIF(Assumptions!$A$25:$A$27,A286)&gt;0,1,0)</f>
        <v>0</v>
      </c>
      <c r="P286" s="14">
        <f>IF(COUNTIF(Assumptions!$B$25:$B$26,A286)&gt;0,1,0)</f>
        <v>0</v>
      </c>
      <c r="Q286" s="14">
        <f>IF(COUNTIF(Assumptions!$C$25:$C$25,A286)&gt;0,1,0)</f>
        <v>0</v>
      </c>
      <c r="R286" s="17">
        <f t="shared" si="25"/>
        <v>0</v>
      </c>
      <c r="S286" s="15" t="str">
        <f>IFERROR(VLOOKUP(A286,Assumptions!$A$31:$B$33,2,0),"")</f>
        <v/>
      </c>
      <c r="T286" s="15">
        <f t="shared" si="26"/>
        <v>63.48</v>
      </c>
      <c r="U286" s="15">
        <f t="shared" si="27"/>
        <v>182124.12</v>
      </c>
      <c r="V286" s="15">
        <f t="shared" si="28"/>
        <v>182124.12</v>
      </c>
      <c r="W286" s="15">
        <f t="shared" si="29"/>
        <v>0</v>
      </c>
    </row>
    <row r="287" spans="1:23" ht="15" customHeight="1" x14ac:dyDescent="0.2">
      <c r="A287" s="14" t="s">
        <v>2465</v>
      </c>
      <c r="B287" s="14" t="s">
        <v>2466</v>
      </c>
      <c r="C287" s="14" t="s">
        <v>2066</v>
      </c>
      <c r="D287" s="14" t="s">
        <v>42</v>
      </c>
      <c r="E287" s="14" t="s">
        <v>2037</v>
      </c>
      <c r="F287" s="14">
        <v>4674</v>
      </c>
      <c r="G287" s="15">
        <v>67.430000000000007</v>
      </c>
      <c r="H287" s="16">
        <v>45963</v>
      </c>
      <c r="I287" s="16">
        <v>46377</v>
      </c>
      <c r="J287" s="16"/>
      <c r="K287" s="14" t="s">
        <v>2004</v>
      </c>
      <c r="L287" s="16">
        <f>IF(D287="Packaging","",IF(ISNUMBER(J287),J287,IF(ISNUMBER(I287),EDATE(I287,VLOOKUP(D287,Assumptions!$A$10:$B$16,2,0)),"")))</f>
        <v>46742</v>
      </c>
      <c r="M287" s="14">
        <f>IF(ISNUMBER(L287),L287-Assumptions!$B$5,"")</f>
        <v>720</v>
      </c>
      <c r="N287" s="17">
        <f t="shared" si="24"/>
        <v>0</v>
      </c>
      <c r="O287" s="14">
        <f>IF(COUNTIF(Assumptions!$A$25:$A$27,A287)&gt;0,1,0)</f>
        <v>0</v>
      </c>
      <c r="P287" s="14">
        <f>IF(COUNTIF(Assumptions!$B$25:$B$26,A287)&gt;0,1,0)</f>
        <v>0</v>
      </c>
      <c r="Q287" s="14">
        <f>IF(COUNTIF(Assumptions!$C$25:$C$25,A287)&gt;0,1,0)</f>
        <v>0</v>
      </c>
      <c r="R287" s="17">
        <f t="shared" si="25"/>
        <v>0</v>
      </c>
      <c r="S287" s="15" t="str">
        <f>IFERROR(VLOOKUP(A287,Assumptions!$A$31:$B$33,2,0),"")</f>
        <v/>
      </c>
      <c r="T287" s="15">
        <f t="shared" si="26"/>
        <v>67.430000000000007</v>
      </c>
      <c r="U287" s="15">
        <f t="shared" si="27"/>
        <v>315167.82</v>
      </c>
      <c r="V287" s="15">
        <f t="shared" si="28"/>
        <v>315167.82</v>
      </c>
      <c r="W287" s="15">
        <f t="shared" si="29"/>
        <v>0</v>
      </c>
    </row>
    <row r="288" spans="1:23" ht="15" customHeight="1" x14ac:dyDescent="0.2">
      <c r="A288" s="14" t="s">
        <v>2467</v>
      </c>
      <c r="B288" s="14" t="s">
        <v>2468</v>
      </c>
      <c r="C288" s="14" t="s">
        <v>2007</v>
      </c>
      <c r="D288" s="14" t="s">
        <v>47</v>
      </c>
      <c r="E288" s="14" t="s">
        <v>2014</v>
      </c>
      <c r="F288" s="14">
        <v>2164</v>
      </c>
      <c r="G288" s="15">
        <v>179</v>
      </c>
      <c r="H288" s="16">
        <v>45473</v>
      </c>
      <c r="I288" s="16">
        <v>45450</v>
      </c>
      <c r="J288" s="16"/>
      <c r="K288" s="14" t="s">
        <v>2021</v>
      </c>
      <c r="L288" s="16" t="str">
        <f>IF(D288="Packaging","",IF(ISNUMBER(J288),J288,IF(ISNUMBER(I288),EDATE(I288,VLOOKUP(D288,Assumptions!$A$10:$B$16,2,0)),"")))</f>
        <v/>
      </c>
      <c r="M288" s="14" t="str">
        <f>IF(ISNUMBER(L288),L288-Assumptions!$B$5,"")</f>
        <v/>
      </c>
      <c r="N288" s="17">
        <f t="shared" si="24"/>
        <v>0</v>
      </c>
      <c r="O288" s="14">
        <f>IF(COUNTIF(Assumptions!$A$25:$A$27,A288)&gt;0,1,0)</f>
        <v>0</v>
      </c>
      <c r="P288" s="14">
        <f>IF(COUNTIF(Assumptions!$B$25:$B$26,A288)&gt;0,1,0)</f>
        <v>0</v>
      </c>
      <c r="Q288" s="14">
        <f>IF(COUNTIF(Assumptions!$C$25:$C$25,A288)&gt;0,1,0)</f>
        <v>0</v>
      </c>
      <c r="R288" s="17">
        <f t="shared" si="25"/>
        <v>0</v>
      </c>
      <c r="S288" s="15" t="str">
        <f>IFERROR(VLOOKUP(A288,Assumptions!$A$31:$B$33,2,0),"")</f>
        <v/>
      </c>
      <c r="T288" s="15">
        <f t="shared" si="26"/>
        <v>179</v>
      </c>
      <c r="U288" s="15">
        <f t="shared" si="27"/>
        <v>387356</v>
      </c>
      <c r="V288" s="15">
        <f t="shared" si="28"/>
        <v>387356</v>
      </c>
      <c r="W288" s="15">
        <f t="shared" si="29"/>
        <v>0</v>
      </c>
    </row>
    <row r="289" spans="1:23" ht="15" customHeight="1" x14ac:dyDescent="0.2">
      <c r="A289" s="14" t="s">
        <v>2469</v>
      </c>
      <c r="B289" s="14" t="s">
        <v>2470</v>
      </c>
      <c r="C289" s="14" t="s">
        <v>2033</v>
      </c>
      <c r="D289" s="14" t="s">
        <v>47</v>
      </c>
      <c r="E289" s="14" t="s">
        <v>1988</v>
      </c>
      <c r="F289" s="14">
        <v>1573</v>
      </c>
      <c r="G289" s="15">
        <v>390.37</v>
      </c>
      <c r="H289" s="16">
        <v>45926</v>
      </c>
      <c r="I289" s="16">
        <v>45847</v>
      </c>
      <c r="J289" s="16"/>
      <c r="K289" s="14" t="s">
        <v>2021</v>
      </c>
      <c r="L289" s="16" t="str">
        <f>IF(D289="Packaging","",IF(ISNUMBER(J289),J289,IF(ISNUMBER(I289),EDATE(I289,VLOOKUP(D289,Assumptions!$A$10:$B$16,2,0)),"")))</f>
        <v/>
      </c>
      <c r="M289" s="14" t="str">
        <f>IF(ISNUMBER(L289),L289-Assumptions!$B$5,"")</f>
        <v/>
      </c>
      <c r="N289" s="17">
        <f t="shared" si="24"/>
        <v>0</v>
      </c>
      <c r="O289" s="14">
        <f>IF(COUNTIF(Assumptions!$A$25:$A$27,A289)&gt;0,1,0)</f>
        <v>0</v>
      </c>
      <c r="P289" s="14">
        <f>IF(COUNTIF(Assumptions!$B$25:$B$26,A289)&gt;0,1,0)</f>
        <v>0</v>
      </c>
      <c r="Q289" s="14">
        <f>IF(COUNTIF(Assumptions!$C$25:$C$25,A289)&gt;0,1,0)</f>
        <v>0</v>
      </c>
      <c r="R289" s="17">
        <f t="shared" si="25"/>
        <v>0</v>
      </c>
      <c r="S289" s="15" t="str">
        <f>IFERROR(VLOOKUP(A289,Assumptions!$A$31:$B$33,2,0),"")</f>
        <v/>
      </c>
      <c r="T289" s="15">
        <f t="shared" si="26"/>
        <v>390.37</v>
      </c>
      <c r="U289" s="15">
        <f t="shared" si="27"/>
        <v>614052.01</v>
      </c>
      <c r="V289" s="15">
        <f t="shared" si="28"/>
        <v>614052.01</v>
      </c>
      <c r="W289" s="15">
        <f t="shared" si="29"/>
        <v>0</v>
      </c>
    </row>
    <row r="290" spans="1:23" ht="15" customHeight="1" x14ac:dyDescent="0.2">
      <c r="A290" s="14" t="s">
        <v>2471</v>
      </c>
      <c r="B290" s="14" t="s">
        <v>2472</v>
      </c>
      <c r="C290" s="14" t="s">
        <v>2010</v>
      </c>
      <c r="D290" s="14" t="s">
        <v>46</v>
      </c>
      <c r="E290" s="14" t="s">
        <v>1993</v>
      </c>
      <c r="F290" s="14">
        <v>72</v>
      </c>
      <c r="G290" s="15">
        <v>232.32</v>
      </c>
      <c r="H290" s="16">
        <v>45973</v>
      </c>
      <c r="I290" s="16">
        <v>46443</v>
      </c>
      <c r="J290" s="16">
        <v>46716</v>
      </c>
      <c r="K290" s="14" t="s">
        <v>1994</v>
      </c>
      <c r="L290" s="16">
        <f>IF(D290="Packaging","",IF(ISNUMBER(J290),J290,IF(ISNUMBER(I290),EDATE(I290,VLOOKUP(D290,Assumptions!$A$10:$B$16,2,0)),"")))</f>
        <v>46716</v>
      </c>
      <c r="M290" s="14">
        <f>IF(ISNUMBER(L290),L290-Assumptions!$B$5,"")</f>
        <v>694</v>
      </c>
      <c r="N290" s="17">
        <f t="shared" si="24"/>
        <v>0</v>
      </c>
      <c r="O290" s="14">
        <f>IF(COUNTIF(Assumptions!$A$25:$A$27,A290)&gt;0,1,0)</f>
        <v>0</v>
      </c>
      <c r="P290" s="14">
        <f>IF(COUNTIF(Assumptions!$B$25:$B$26,A290)&gt;0,1,0)</f>
        <v>0</v>
      </c>
      <c r="Q290" s="14">
        <f>IF(COUNTIF(Assumptions!$C$25:$C$25,A290)&gt;0,1,0)</f>
        <v>0</v>
      </c>
      <c r="R290" s="17">
        <f t="shared" si="25"/>
        <v>0</v>
      </c>
      <c r="S290" s="15" t="str">
        <f>IFERROR(VLOOKUP(A290,Assumptions!$A$31:$B$33,2,0),"")</f>
        <v/>
      </c>
      <c r="T290" s="15">
        <f t="shared" si="26"/>
        <v>232.32</v>
      </c>
      <c r="U290" s="15">
        <f t="shared" si="27"/>
        <v>16727.04</v>
      </c>
      <c r="V290" s="15">
        <f t="shared" si="28"/>
        <v>16727.04</v>
      </c>
      <c r="W290" s="15">
        <f t="shared" si="29"/>
        <v>0</v>
      </c>
    </row>
    <row r="291" spans="1:23" ht="15" customHeight="1" x14ac:dyDescent="0.2">
      <c r="A291" s="14" t="s">
        <v>419</v>
      </c>
      <c r="B291" s="14" t="s">
        <v>418</v>
      </c>
      <c r="C291" s="14" t="s">
        <v>2018</v>
      </c>
      <c r="D291" s="14" t="s">
        <v>36</v>
      </c>
      <c r="E291" s="14" t="s">
        <v>1988</v>
      </c>
      <c r="F291" s="14">
        <v>3347</v>
      </c>
      <c r="G291" s="15">
        <v>114.95</v>
      </c>
      <c r="H291" s="16">
        <v>45855</v>
      </c>
      <c r="I291" s="16">
        <v>45848</v>
      </c>
      <c r="J291" s="16"/>
      <c r="K291" s="14" t="s">
        <v>2021</v>
      </c>
      <c r="L291" s="16">
        <f>IF(D291="Packaging","",IF(ISNUMBER(J291),J291,IF(ISNUMBER(I291),EDATE(I291,VLOOKUP(D291,Assumptions!$A$10:$B$16,2,0)),"")))</f>
        <v>46578</v>
      </c>
      <c r="M291" s="14">
        <f>IF(ISNUMBER(L291),L291-Assumptions!$B$5,"")</f>
        <v>556</v>
      </c>
      <c r="N291" s="17">
        <f t="shared" si="24"/>
        <v>0</v>
      </c>
      <c r="O291" s="14">
        <f>IF(COUNTIF(Assumptions!$A$25:$A$27,A291)&gt;0,1,0)</f>
        <v>0</v>
      </c>
      <c r="P291" s="14">
        <f>IF(COUNTIF(Assumptions!$B$25:$B$26,A291)&gt;0,1,0)</f>
        <v>0</v>
      </c>
      <c r="Q291" s="14">
        <f>IF(COUNTIF(Assumptions!$C$25:$C$25,A291)&gt;0,1,0)</f>
        <v>0</v>
      </c>
      <c r="R291" s="17">
        <f t="shared" si="25"/>
        <v>0</v>
      </c>
      <c r="S291" s="15" t="str">
        <f>IFERROR(VLOOKUP(A291,Assumptions!$A$31:$B$33,2,0),"")</f>
        <v/>
      </c>
      <c r="T291" s="15">
        <f t="shared" si="26"/>
        <v>114.95</v>
      </c>
      <c r="U291" s="15">
        <f t="shared" si="27"/>
        <v>384737.65</v>
      </c>
      <c r="V291" s="15">
        <f t="shared" si="28"/>
        <v>384737.65</v>
      </c>
      <c r="W291" s="15">
        <f t="shared" si="29"/>
        <v>0</v>
      </c>
    </row>
    <row r="292" spans="1:23" ht="15" customHeight="1" x14ac:dyDescent="0.2">
      <c r="A292" s="14" t="s">
        <v>824</v>
      </c>
      <c r="B292" s="14" t="s">
        <v>823</v>
      </c>
      <c r="C292" s="14" t="s">
        <v>2192</v>
      </c>
      <c r="D292" s="14" t="s">
        <v>39</v>
      </c>
      <c r="E292" s="14" t="s">
        <v>2037</v>
      </c>
      <c r="F292" s="14">
        <v>2309</v>
      </c>
      <c r="G292" s="15">
        <v>77.12</v>
      </c>
      <c r="H292" s="16">
        <v>45487</v>
      </c>
      <c r="I292" s="16">
        <v>45420</v>
      </c>
      <c r="J292" s="16">
        <v>46515</v>
      </c>
      <c r="K292" s="14" t="s">
        <v>2052</v>
      </c>
      <c r="L292" s="16">
        <f>IF(D292="Packaging","",IF(ISNUMBER(J292),J292,IF(ISNUMBER(I292),EDATE(I292,VLOOKUP(D292,Assumptions!$A$10:$B$16,2,0)),"")))</f>
        <v>46515</v>
      </c>
      <c r="M292" s="14">
        <f>IF(ISNUMBER(L292),L292-Assumptions!$B$5,"")</f>
        <v>493</v>
      </c>
      <c r="N292" s="17">
        <f t="shared" si="24"/>
        <v>0</v>
      </c>
      <c r="O292" s="14">
        <f>IF(COUNTIF(Assumptions!$A$25:$A$27,A292)&gt;0,1,0)</f>
        <v>0</v>
      </c>
      <c r="P292" s="14">
        <f>IF(COUNTIF(Assumptions!$B$25:$B$26,A292)&gt;0,1,0)</f>
        <v>0</v>
      </c>
      <c r="Q292" s="14">
        <f>IF(COUNTIF(Assumptions!$C$25:$C$25,A292)&gt;0,1,0)</f>
        <v>0</v>
      </c>
      <c r="R292" s="17">
        <f t="shared" si="25"/>
        <v>0</v>
      </c>
      <c r="S292" s="15" t="str">
        <f>IFERROR(VLOOKUP(A292,Assumptions!$A$31:$B$33,2,0),"")</f>
        <v/>
      </c>
      <c r="T292" s="15">
        <f t="shared" si="26"/>
        <v>77.12</v>
      </c>
      <c r="U292" s="15">
        <f t="shared" si="27"/>
        <v>178070.08000000002</v>
      </c>
      <c r="V292" s="15">
        <f t="shared" si="28"/>
        <v>178070.08000000002</v>
      </c>
      <c r="W292" s="15">
        <f t="shared" si="29"/>
        <v>0</v>
      </c>
    </row>
    <row r="293" spans="1:23" ht="15" customHeight="1" x14ac:dyDescent="0.2">
      <c r="A293" s="14" t="s">
        <v>2473</v>
      </c>
      <c r="B293" s="14" t="s">
        <v>2474</v>
      </c>
      <c r="C293" s="14" t="s">
        <v>2101</v>
      </c>
      <c r="D293" s="14" t="s">
        <v>46</v>
      </c>
      <c r="E293" s="14" t="s">
        <v>2014</v>
      </c>
      <c r="F293" s="14">
        <v>4792</v>
      </c>
      <c r="G293" s="15">
        <v>39.79</v>
      </c>
      <c r="H293" s="16">
        <v>46017</v>
      </c>
      <c r="I293" s="16">
        <v>46330</v>
      </c>
      <c r="J293" s="16">
        <v>46603</v>
      </c>
      <c r="K293" s="14" t="s">
        <v>2030</v>
      </c>
      <c r="L293" s="16">
        <f>IF(D293="Packaging","",IF(ISNUMBER(J293),J293,IF(ISNUMBER(I293),EDATE(I293,VLOOKUP(D293,Assumptions!$A$10:$B$16,2,0)),"")))</f>
        <v>46603</v>
      </c>
      <c r="M293" s="14">
        <f>IF(ISNUMBER(L293),L293-Assumptions!$B$5,"")</f>
        <v>581</v>
      </c>
      <c r="N293" s="17">
        <f t="shared" si="24"/>
        <v>0</v>
      </c>
      <c r="O293" s="14">
        <f>IF(COUNTIF(Assumptions!$A$25:$A$27,A293)&gt;0,1,0)</f>
        <v>0</v>
      </c>
      <c r="P293" s="14">
        <f>IF(COUNTIF(Assumptions!$B$25:$B$26,A293)&gt;0,1,0)</f>
        <v>0</v>
      </c>
      <c r="Q293" s="14">
        <f>IF(COUNTIF(Assumptions!$C$25:$C$25,A293)&gt;0,1,0)</f>
        <v>0</v>
      </c>
      <c r="R293" s="17">
        <f t="shared" si="25"/>
        <v>0</v>
      </c>
      <c r="S293" s="15" t="str">
        <f>IFERROR(VLOOKUP(A293,Assumptions!$A$31:$B$33,2,0),"")</f>
        <v/>
      </c>
      <c r="T293" s="15">
        <f t="shared" si="26"/>
        <v>39.79</v>
      </c>
      <c r="U293" s="15">
        <f t="shared" si="27"/>
        <v>190673.68</v>
      </c>
      <c r="V293" s="15">
        <f t="shared" si="28"/>
        <v>190673.68</v>
      </c>
      <c r="W293" s="15">
        <f t="shared" si="29"/>
        <v>0</v>
      </c>
    </row>
    <row r="294" spans="1:23" ht="15" customHeight="1" x14ac:dyDescent="0.2">
      <c r="A294" s="14" t="s">
        <v>845</v>
      </c>
      <c r="B294" s="14" t="s">
        <v>844</v>
      </c>
      <c r="C294" s="14" t="s">
        <v>2119</v>
      </c>
      <c r="D294" s="14" t="s">
        <v>39</v>
      </c>
      <c r="E294" s="14" t="s">
        <v>2014</v>
      </c>
      <c r="F294" s="14">
        <v>1867</v>
      </c>
      <c r="G294" s="15">
        <v>87.62</v>
      </c>
      <c r="H294" s="16">
        <v>45688</v>
      </c>
      <c r="I294" s="16">
        <v>45602</v>
      </c>
      <c r="J294" s="16">
        <v>46697</v>
      </c>
      <c r="K294" s="14" t="s">
        <v>2052</v>
      </c>
      <c r="L294" s="16">
        <f>IF(D294="Packaging","",IF(ISNUMBER(J294),J294,IF(ISNUMBER(I294),EDATE(I294,VLOOKUP(D294,Assumptions!$A$10:$B$16,2,0)),"")))</f>
        <v>46697</v>
      </c>
      <c r="M294" s="14">
        <f>IF(ISNUMBER(L294),L294-Assumptions!$B$5,"")</f>
        <v>675</v>
      </c>
      <c r="N294" s="17">
        <f t="shared" si="24"/>
        <v>0</v>
      </c>
      <c r="O294" s="14">
        <f>IF(COUNTIF(Assumptions!$A$25:$A$27,A294)&gt;0,1,0)</f>
        <v>0</v>
      </c>
      <c r="P294" s="14">
        <f>IF(COUNTIF(Assumptions!$B$25:$B$26,A294)&gt;0,1,0)</f>
        <v>0</v>
      </c>
      <c r="Q294" s="14">
        <f>IF(COUNTIF(Assumptions!$C$25:$C$25,A294)&gt;0,1,0)</f>
        <v>0</v>
      </c>
      <c r="R294" s="17">
        <f t="shared" si="25"/>
        <v>0</v>
      </c>
      <c r="S294" s="15" t="str">
        <f>IFERROR(VLOOKUP(A294,Assumptions!$A$31:$B$33,2,0),"")</f>
        <v/>
      </c>
      <c r="T294" s="15">
        <f t="shared" si="26"/>
        <v>87.62</v>
      </c>
      <c r="U294" s="15">
        <f t="shared" si="27"/>
        <v>163586.54</v>
      </c>
      <c r="V294" s="15">
        <f t="shared" si="28"/>
        <v>163586.54</v>
      </c>
      <c r="W294" s="15">
        <f t="shared" si="29"/>
        <v>0</v>
      </c>
    </row>
    <row r="295" spans="1:23" ht="15" customHeight="1" x14ac:dyDescent="0.2">
      <c r="A295" s="14" t="s">
        <v>2475</v>
      </c>
      <c r="B295" s="14" t="s">
        <v>2476</v>
      </c>
      <c r="C295" s="14" t="s">
        <v>2000</v>
      </c>
      <c r="D295" s="14" t="s">
        <v>45</v>
      </c>
      <c r="E295" s="14" t="s">
        <v>1993</v>
      </c>
      <c r="F295" s="14">
        <v>2924</v>
      </c>
      <c r="G295" s="15">
        <v>81.52</v>
      </c>
      <c r="H295" s="16">
        <v>45999</v>
      </c>
      <c r="I295" s="16">
        <v>46113</v>
      </c>
      <c r="J295" s="16"/>
      <c r="K295" s="14" t="s">
        <v>2052</v>
      </c>
      <c r="L295" s="16">
        <f>IF(D295="Packaging","",IF(ISNUMBER(J295),J295,IF(ISNUMBER(I295),EDATE(I295,VLOOKUP(D295,Assumptions!$A$10:$B$16,2,0)),"")))</f>
        <v>46296</v>
      </c>
      <c r="M295" s="14">
        <f>IF(ISNUMBER(L295),L295-Assumptions!$B$5,"")</f>
        <v>274</v>
      </c>
      <c r="N295" s="17">
        <f t="shared" si="24"/>
        <v>0</v>
      </c>
      <c r="O295" s="14">
        <f>IF(COUNTIF(Assumptions!$A$25:$A$27,A295)&gt;0,1,0)</f>
        <v>0</v>
      </c>
      <c r="P295" s="14">
        <f>IF(COUNTIF(Assumptions!$B$25:$B$26,A295)&gt;0,1,0)</f>
        <v>0</v>
      </c>
      <c r="Q295" s="14">
        <f>IF(COUNTIF(Assumptions!$C$25:$C$25,A295)&gt;0,1,0)</f>
        <v>0</v>
      </c>
      <c r="R295" s="17">
        <f t="shared" si="25"/>
        <v>0</v>
      </c>
      <c r="S295" s="15" t="str">
        <f>IFERROR(VLOOKUP(A295,Assumptions!$A$31:$B$33,2,0),"")</f>
        <v/>
      </c>
      <c r="T295" s="15">
        <f t="shared" si="26"/>
        <v>81.52</v>
      </c>
      <c r="U295" s="15">
        <f t="shared" si="27"/>
        <v>238364.47999999998</v>
      </c>
      <c r="V295" s="15">
        <f t="shared" si="28"/>
        <v>238364.47999999998</v>
      </c>
      <c r="W295" s="15">
        <f t="shared" si="29"/>
        <v>0</v>
      </c>
    </row>
    <row r="296" spans="1:23" ht="15" customHeight="1" x14ac:dyDescent="0.2">
      <c r="A296" s="14" t="s">
        <v>868</v>
      </c>
      <c r="B296" s="14" t="s">
        <v>867</v>
      </c>
      <c r="C296" s="14" t="s">
        <v>2108</v>
      </c>
      <c r="D296" s="14" t="s">
        <v>39</v>
      </c>
      <c r="E296" s="14" t="s">
        <v>1993</v>
      </c>
      <c r="F296" s="14">
        <v>2673</v>
      </c>
      <c r="G296" s="15">
        <v>364.13</v>
      </c>
      <c r="H296" s="16">
        <v>45547</v>
      </c>
      <c r="I296" s="16">
        <v>45457</v>
      </c>
      <c r="J296" s="16">
        <v>46552</v>
      </c>
      <c r="K296" s="14" t="s">
        <v>1989</v>
      </c>
      <c r="L296" s="16">
        <f>IF(D296="Packaging","",IF(ISNUMBER(J296),J296,IF(ISNUMBER(I296),EDATE(I296,VLOOKUP(D296,Assumptions!$A$10:$B$16,2,0)),"")))</f>
        <v>46552</v>
      </c>
      <c r="M296" s="14">
        <f>IF(ISNUMBER(L296),L296-Assumptions!$B$5,"")</f>
        <v>530</v>
      </c>
      <c r="N296" s="17">
        <f t="shared" si="24"/>
        <v>0</v>
      </c>
      <c r="O296" s="14">
        <f>IF(COUNTIF(Assumptions!$A$25:$A$27,A296)&gt;0,1,0)</f>
        <v>0</v>
      </c>
      <c r="P296" s="14">
        <f>IF(COUNTIF(Assumptions!$B$25:$B$26,A296)&gt;0,1,0)</f>
        <v>0</v>
      </c>
      <c r="Q296" s="14">
        <f>IF(COUNTIF(Assumptions!$C$25:$C$25,A296)&gt;0,1,0)</f>
        <v>0</v>
      </c>
      <c r="R296" s="17">
        <f t="shared" si="25"/>
        <v>0</v>
      </c>
      <c r="S296" s="15" t="str">
        <f>IFERROR(VLOOKUP(A296,Assumptions!$A$31:$B$33,2,0),"")</f>
        <v/>
      </c>
      <c r="T296" s="15">
        <f t="shared" si="26"/>
        <v>364.13</v>
      </c>
      <c r="U296" s="15">
        <f t="shared" si="27"/>
        <v>973319.49</v>
      </c>
      <c r="V296" s="15">
        <f t="shared" si="28"/>
        <v>973319.49</v>
      </c>
      <c r="W296" s="15">
        <f t="shared" si="29"/>
        <v>0</v>
      </c>
    </row>
    <row r="297" spans="1:23" ht="15" customHeight="1" x14ac:dyDescent="0.2">
      <c r="A297" s="14" t="s">
        <v>430</v>
      </c>
      <c r="B297" s="14" t="s">
        <v>429</v>
      </c>
      <c r="C297" s="14" t="s">
        <v>2104</v>
      </c>
      <c r="D297" s="14" t="s">
        <v>36</v>
      </c>
      <c r="E297" s="14" t="s">
        <v>2014</v>
      </c>
      <c r="F297" s="14">
        <v>1091</v>
      </c>
      <c r="G297" s="15">
        <v>327.94</v>
      </c>
      <c r="H297" s="16">
        <v>45591</v>
      </c>
      <c r="I297" s="16">
        <v>45558</v>
      </c>
      <c r="J297" s="16">
        <v>46288</v>
      </c>
      <c r="K297" s="14" t="s">
        <v>2030</v>
      </c>
      <c r="L297" s="16">
        <f>IF(D297="Packaging","",IF(ISNUMBER(J297),J297,IF(ISNUMBER(I297),EDATE(I297,VLOOKUP(D297,Assumptions!$A$10:$B$16,2,0)),"")))</f>
        <v>46288</v>
      </c>
      <c r="M297" s="14">
        <f>IF(ISNUMBER(L297),L297-Assumptions!$B$5,"")</f>
        <v>266</v>
      </c>
      <c r="N297" s="17">
        <f t="shared" si="24"/>
        <v>0</v>
      </c>
      <c r="O297" s="14">
        <f>IF(COUNTIF(Assumptions!$A$25:$A$27,A297)&gt;0,1,0)</f>
        <v>0</v>
      </c>
      <c r="P297" s="14">
        <f>IF(COUNTIF(Assumptions!$B$25:$B$26,A297)&gt;0,1,0)</f>
        <v>0</v>
      </c>
      <c r="Q297" s="14">
        <f>IF(COUNTIF(Assumptions!$C$25:$C$25,A297)&gt;0,1,0)</f>
        <v>0</v>
      </c>
      <c r="R297" s="17">
        <f t="shared" si="25"/>
        <v>0</v>
      </c>
      <c r="S297" s="15" t="str">
        <f>IFERROR(VLOOKUP(A297,Assumptions!$A$31:$B$33,2,0),"")</f>
        <v/>
      </c>
      <c r="T297" s="15">
        <f t="shared" si="26"/>
        <v>327.94</v>
      </c>
      <c r="U297" s="15">
        <f t="shared" si="27"/>
        <v>357782.54</v>
      </c>
      <c r="V297" s="15">
        <f t="shared" si="28"/>
        <v>357782.54</v>
      </c>
      <c r="W297" s="15">
        <f t="shared" si="29"/>
        <v>0</v>
      </c>
    </row>
    <row r="298" spans="1:23" ht="15" customHeight="1" x14ac:dyDescent="0.2">
      <c r="A298" s="14" t="s">
        <v>455</v>
      </c>
      <c r="B298" s="14" t="s">
        <v>454</v>
      </c>
      <c r="C298" s="14" t="s">
        <v>2018</v>
      </c>
      <c r="D298" s="14" t="s">
        <v>36</v>
      </c>
      <c r="E298" s="14" t="s">
        <v>1988</v>
      </c>
      <c r="F298" s="14">
        <v>1053</v>
      </c>
      <c r="G298" s="15">
        <v>251.23</v>
      </c>
      <c r="H298" s="16">
        <v>45589</v>
      </c>
      <c r="I298" s="16">
        <v>45534</v>
      </c>
      <c r="J298" s="16">
        <v>46264</v>
      </c>
      <c r="K298" s="14" t="s">
        <v>2052</v>
      </c>
      <c r="L298" s="16">
        <f>IF(D298="Packaging","",IF(ISNUMBER(J298),J298,IF(ISNUMBER(I298),EDATE(I298,VLOOKUP(D298,Assumptions!$A$10:$B$16,2,0)),"")))</f>
        <v>46264</v>
      </c>
      <c r="M298" s="14">
        <f>IF(ISNUMBER(L298),L298-Assumptions!$B$5,"")</f>
        <v>242</v>
      </c>
      <c r="N298" s="17">
        <f t="shared" si="24"/>
        <v>0</v>
      </c>
      <c r="O298" s="14">
        <f>IF(COUNTIF(Assumptions!$A$25:$A$27,A298)&gt;0,1,0)</f>
        <v>0</v>
      </c>
      <c r="P298" s="14">
        <f>IF(COUNTIF(Assumptions!$B$25:$B$26,A298)&gt;0,1,0)</f>
        <v>0</v>
      </c>
      <c r="Q298" s="14">
        <f>IF(COUNTIF(Assumptions!$C$25:$C$25,A298)&gt;0,1,0)</f>
        <v>0</v>
      </c>
      <c r="R298" s="17">
        <f t="shared" si="25"/>
        <v>0</v>
      </c>
      <c r="S298" s="15" t="str">
        <f>IFERROR(VLOOKUP(A298,Assumptions!$A$31:$B$33,2,0),"")</f>
        <v/>
      </c>
      <c r="T298" s="15">
        <f t="shared" si="26"/>
        <v>251.23</v>
      </c>
      <c r="U298" s="15">
        <f t="shared" si="27"/>
        <v>264545.19</v>
      </c>
      <c r="V298" s="15">
        <f t="shared" si="28"/>
        <v>264545.19</v>
      </c>
      <c r="W298" s="15">
        <f t="shared" si="29"/>
        <v>0</v>
      </c>
    </row>
    <row r="299" spans="1:23" ht="15" customHeight="1" x14ac:dyDescent="0.2">
      <c r="A299" s="14" t="s">
        <v>2477</v>
      </c>
      <c r="B299" s="14" t="s">
        <v>2478</v>
      </c>
      <c r="C299" s="14" t="s">
        <v>2066</v>
      </c>
      <c r="D299" s="14" t="s">
        <v>42</v>
      </c>
      <c r="E299" s="14" t="s">
        <v>2037</v>
      </c>
      <c r="F299" s="14">
        <v>3714</v>
      </c>
      <c r="G299" s="15">
        <v>145.19999999999999</v>
      </c>
      <c r="H299" s="16">
        <v>45995</v>
      </c>
      <c r="I299" s="16">
        <v>46000</v>
      </c>
      <c r="J299" s="16">
        <v>46365</v>
      </c>
      <c r="K299" s="14" t="s">
        <v>2021</v>
      </c>
      <c r="L299" s="16">
        <f>IF(D299="Packaging","",IF(ISNUMBER(J299),J299,IF(ISNUMBER(I299),EDATE(I299,VLOOKUP(D299,Assumptions!$A$10:$B$16,2,0)),"")))</f>
        <v>46365</v>
      </c>
      <c r="M299" s="14">
        <f>IF(ISNUMBER(L299),L299-Assumptions!$B$5,"")</f>
        <v>343</v>
      </c>
      <c r="N299" s="17">
        <f t="shared" si="24"/>
        <v>0</v>
      </c>
      <c r="O299" s="14">
        <f>IF(COUNTIF(Assumptions!$A$25:$A$27,A299)&gt;0,1,0)</f>
        <v>0</v>
      </c>
      <c r="P299" s="14">
        <f>IF(COUNTIF(Assumptions!$B$25:$B$26,A299)&gt;0,1,0)</f>
        <v>0</v>
      </c>
      <c r="Q299" s="14">
        <f>IF(COUNTIF(Assumptions!$C$25:$C$25,A299)&gt;0,1,0)</f>
        <v>0</v>
      </c>
      <c r="R299" s="17">
        <f t="shared" si="25"/>
        <v>0</v>
      </c>
      <c r="S299" s="15" t="str">
        <f>IFERROR(VLOOKUP(A299,Assumptions!$A$31:$B$33,2,0),"")</f>
        <v/>
      </c>
      <c r="T299" s="15">
        <f t="shared" si="26"/>
        <v>145.19999999999999</v>
      </c>
      <c r="U299" s="15">
        <f t="shared" si="27"/>
        <v>539272.79999999993</v>
      </c>
      <c r="V299" s="15">
        <f t="shared" si="28"/>
        <v>539272.79999999993</v>
      </c>
      <c r="W299" s="15">
        <f t="shared" si="29"/>
        <v>0</v>
      </c>
    </row>
    <row r="300" spans="1:23" ht="15" customHeight="1" x14ac:dyDescent="0.2">
      <c r="A300" s="14" t="s">
        <v>2479</v>
      </c>
      <c r="B300" s="14" t="s">
        <v>2480</v>
      </c>
      <c r="C300" s="14" t="s">
        <v>2036</v>
      </c>
      <c r="D300" s="14" t="s">
        <v>45</v>
      </c>
      <c r="E300" s="14" t="s">
        <v>2014</v>
      </c>
      <c r="F300" s="14">
        <v>2673</v>
      </c>
      <c r="G300" s="15">
        <v>110.32</v>
      </c>
      <c r="H300" s="16">
        <v>46007</v>
      </c>
      <c r="I300" s="16">
        <v>46238</v>
      </c>
      <c r="J300" s="16">
        <v>46422</v>
      </c>
      <c r="K300" s="14" t="s">
        <v>1994</v>
      </c>
      <c r="L300" s="16">
        <f>IF(D300="Packaging","",IF(ISNUMBER(J300),J300,IF(ISNUMBER(I300),EDATE(I300,VLOOKUP(D300,Assumptions!$A$10:$B$16,2,0)),"")))</f>
        <v>46422</v>
      </c>
      <c r="M300" s="14">
        <f>IF(ISNUMBER(L300),L300-Assumptions!$B$5,"")</f>
        <v>400</v>
      </c>
      <c r="N300" s="17">
        <f t="shared" si="24"/>
        <v>0</v>
      </c>
      <c r="O300" s="14">
        <f>IF(COUNTIF(Assumptions!$A$25:$A$27,A300)&gt;0,1,0)</f>
        <v>0</v>
      </c>
      <c r="P300" s="14">
        <f>IF(COUNTIF(Assumptions!$B$25:$B$26,A300)&gt;0,1,0)</f>
        <v>0</v>
      </c>
      <c r="Q300" s="14">
        <f>IF(COUNTIF(Assumptions!$C$25:$C$25,A300)&gt;0,1,0)</f>
        <v>0</v>
      </c>
      <c r="R300" s="17">
        <f t="shared" si="25"/>
        <v>0</v>
      </c>
      <c r="S300" s="15" t="str">
        <f>IFERROR(VLOOKUP(A300,Assumptions!$A$31:$B$33,2,0),"")</f>
        <v/>
      </c>
      <c r="T300" s="15">
        <f t="shared" si="26"/>
        <v>110.32</v>
      </c>
      <c r="U300" s="15">
        <f t="shared" si="27"/>
        <v>294885.36</v>
      </c>
      <c r="V300" s="15">
        <f t="shared" si="28"/>
        <v>294885.36</v>
      </c>
      <c r="W300" s="15">
        <f t="shared" si="29"/>
        <v>0</v>
      </c>
    </row>
    <row r="301" spans="1:23" ht="15" customHeight="1" x14ac:dyDescent="0.2">
      <c r="A301" s="14" t="s">
        <v>2481</v>
      </c>
      <c r="B301" s="14" t="s">
        <v>2482</v>
      </c>
      <c r="C301" s="14" t="s">
        <v>2142</v>
      </c>
      <c r="D301" s="14" t="s">
        <v>44</v>
      </c>
      <c r="E301" s="14" t="s">
        <v>1988</v>
      </c>
      <c r="F301" s="14">
        <v>970</v>
      </c>
      <c r="G301" s="15">
        <v>7.07</v>
      </c>
      <c r="H301" s="16">
        <v>45377</v>
      </c>
      <c r="I301" s="16">
        <v>45366</v>
      </c>
      <c r="J301" s="16"/>
      <c r="K301" s="14" t="s">
        <v>2052</v>
      </c>
      <c r="L301" s="16">
        <f>IF(D301="Packaging","",IF(ISNUMBER(J301),J301,IF(ISNUMBER(I301),EDATE(I301,VLOOKUP(D301,Assumptions!$A$10:$B$16,2,0)),"")))</f>
        <v>45915</v>
      </c>
      <c r="M301" s="14">
        <f>IF(ISNUMBER(L301),L301-Assumptions!$B$5,"")</f>
        <v>-107</v>
      </c>
      <c r="N301" s="17">
        <f t="shared" si="24"/>
        <v>1</v>
      </c>
      <c r="O301" s="14">
        <f>IF(COUNTIF(Assumptions!$A$25:$A$27,A301)&gt;0,1,0)</f>
        <v>0</v>
      </c>
      <c r="P301" s="14">
        <f>IF(COUNTIF(Assumptions!$B$25:$B$26,A301)&gt;0,1,0)</f>
        <v>0</v>
      </c>
      <c r="Q301" s="14">
        <f>IF(COUNTIF(Assumptions!$C$25:$C$25,A301)&gt;0,1,0)</f>
        <v>0</v>
      </c>
      <c r="R301" s="17">
        <f t="shared" si="25"/>
        <v>1</v>
      </c>
      <c r="S301" s="15" t="str">
        <f>IFERROR(VLOOKUP(A301,Assumptions!$A$31:$B$33,2,0),"")</f>
        <v/>
      </c>
      <c r="T301" s="15">
        <f t="shared" si="26"/>
        <v>7.07</v>
      </c>
      <c r="U301" s="15">
        <f t="shared" si="27"/>
        <v>6857.9000000000005</v>
      </c>
      <c r="V301" s="15">
        <f t="shared" si="28"/>
        <v>0</v>
      </c>
      <c r="W301" s="15">
        <f t="shared" si="29"/>
        <v>6857.9000000000005</v>
      </c>
    </row>
    <row r="302" spans="1:23" ht="15" customHeight="1" x14ac:dyDescent="0.2">
      <c r="A302" s="14" t="s">
        <v>2483</v>
      </c>
      <c r="B302" s="14" t="s">
        <v>2484</v>
      </c>
      <c r="C302" s="14" t="s">
        <v>1426</v>
      </c>
      <c r="D302" s="14" t="s">
        <v>44</v>
      </c>
      <c r="E302" s="14" t="s">
        <v>1988</v>
      </c>
      <c r="F302" s="14">
        <v>1224</v>
      </c>
      <c r="G302" s="15">
        <v>252.97</v>
      </c>
      <c r="H302" s="16">
        <v>45974</v>
      </c>
      <c r="I302" s="16">
        <v>46201</v>
      </c>
      <c r="J302" s="16">
        <v>46749</v>
      </c>
      <c r="K302" s="14" t="s">
        <v>1989</v>
      </c>
      <c r="L302" s="16">
        <f>IF(D302="Packaging","",IF(ISNUMBER(J302),J302,IF(ISNUMBER(I302),EDATE(I302,VLOOKUP(D302,Assumptions!$A$10:$B$16,2,0)),"")))</f>
        <v>46749</v>
      </c>
      <c r="M302" s="14">
        <f>IF(ISNUMBER(L302),L302-Assumptions!$B$5,"")</f>
        <v>727</v>
      </c>
      <c r="N302" s="17">
        <f t="shared" si="24"/>
        <v>0</v>
      </c>
      <c r="O302" s="14">
        <f>IF(COUNTIF(Assumptions!$A$25:$A$27,A302)&gt;0,1,0)</f>
        <v>0</v>
      </c>
      <c r="P302" s="14">
        <f>IF(COUNTIF(Assumptions!$B$25:$B$26,A302)&gt;0,1,0)</f>
        <v>0</v>
      </c>
      <c r="Q302" s="14">
        <f>IF(COUNTIF(Assumptions!$C$25:$C$25,A302)&gt;0,1,0)</f>
        <v>0</v>
      </c>
      <c r="R302" s="17">
        <f t="shared" si="25"/>
        <v>0</v>
      </c>
      <c r="S302" s="15" t="str">
        <f>IFERROR(VLOOKUP(A302,Assumptions!$A$31:$B$33,2,0),"")</f>
        <v/>
      </c>
      <c r="T302" s="15">
        <f t="shared" si="26"/>
        <v>252.97</v>
      </c>
      <c r="U302" s="15">
        <f t="shared" si="27"/>
        <v>309635.27999999997</v>
      </c>
      <c r="V302" s="15">
        <f t="shared" si="28"/>
        <v>309635.27999999997</v>
      </c>
      <c r="W302" s="15">
        <f t="shared" si="29"/>
        <v>0</v>
      </c>
    </row>
    <row r="303" spans="1:23" ht="15" customHeight="1" x14ac:dyDescent="0.2">
      <c r="A303" s="14" t="s">
        <v>2485</v>
      </c>
      <c r="B303" s="14" t="s">
        <v>2486</v>
      </c>
      <c r="C303" s="14" t="s">
        <v>1426</v>
      </c>
      <c r="D303" s="14" t="s">
        <v>44</v>
      </c>
      <c r="E303" s="14" t="s">
        <v>2037</v>
      </c>
      <c r="F303" s="14">
        <v>4733</v>
      </c>
      <c r="G303" s="15">
        <v>299.02999999999997</v>
      </c>
      <c r="H303" s="16">
        <v>45994</v>
      </c>
      <c r="I303" s="16">
        <v>46062</v>
      </c>
      <c r="J303" s="16">
        <v>46608</v>
      </c>
      <c r="K303" s="14" t="s">
        <v>2021</v>
      </c>
      <c r="L303" s="16">
        <f>IF(D303="Packaging","",IF(ISNUMBER(J303),J303,IF(ISNUMBER(I303),EDATE(I303,VLOOKUP(D303,Assumptions!$A$10:$B$16,2,0)),"")))</f>
        <v>46608</v>
      </c>
      <c r="M303" s="14">
        <f>IF(ISNUMBER(L303),L303-Assumptions!$B$5,"")</f>
        <v>586</v>
      </c>
      <c r="N303" s="17">
        <f t="shared" si="24"/>
        <v>0</v>
      </c>
      <c r="O303" s="14">
        <f>IF(COUNTIF(Assumptions!$A$25:$A$27,A303)&gt;0,1,0)</f>
        <v>0</v>
      </c>
      <c r="P303" s="14">
        <f>IF(COUNTIF(Assumptions!$B$25:$B$26,A303)&gt;0,1,0)</f>
        <v>0</v>
      </c>
      <c r="Q303" s="14">
        <f>IF(COUNTIF(Assumptions!$C$25:$C$25,A303)&gt;0,1,0)</f>
        <v>0</v>
      </c>
      <c r="R303" s="17">
        <f t="shared" si="25"/>
        <v>0</v>
      </c>
      <c r="S303" s="15" t="str">
        <f>IFERROR(VLOOKUP(A303,Assumptions!$A$31:$B$33,2,0),"")</f>
        <v/>
      </c>
      <c r="T303" s="15">
        <f t="shared" si="26"/>
        <v>299.02999999999997</v>
      </c>
      <c r="U303" s="15">
        <f t="shared" si="27"/>
        <v>1415308.9899999998</v>
      </c>
      <c r="V303" s="15">
        <f t="shared" si="28"/>
        <v>1415308.9899999998</v>
      </c>
      <c r="W303" s="15">
        <f t="shared" si="29"/>
        <v>0</v>
      </c>
    </row>
    <row r="304" spans="1:23" ht="15" customHeight="1" x14ac:dyDescent="0.2">
      <c r="A304" s="14" t="s">
        <v>2487</v>
      </c>
      <c r="B304" s="14" t="s">
        <v>2488</v>
      </c>
      <c r="C304" s="14" t="s">
        <v>2010</v>
      </c>
      <c r="D304" s="14" t="s">
        <v>46</v>
      </c>
      <c r="E304" s="14" t="s">
        <v>2037</v>
      </c>
      <c r="F304" s="14">
        <v>2866</v>
      </c>
      <c r="G304" s="15">
        <v>122.86</v>
      </c>
      <c r="H304" s="16">
        <v>46007</v>
      </c>
      <c r="I304" s="16">
        <v>46585</v>
      </c>
      <c r="J304" s="16">
        <v>46860</v>
      </c>
      <c r="K304" s="14" t="s">
        <v>2015</v>
      </c>
      <c r="L304" s="16">
        <f>IF(D304="Packaging","",IF(ISNUMBER(J304),J304,IF(ISNUMBER(I304),EDATE(I304,VLOOKUP(D304,Assumptions!$A$10:$B$16,2,0)),"")))</f>
        <v>46860</v>
      </c>
      <c r="M304" s="14">
        <f>IF(ISNUMBER(L304),L304-Assumptions!$B$5,"")</f>
        <v>838</v>
      </c>
      <c r="N304" s="17">
        <f t="shared" si="24"/>
        <v>0</v>
      </c>
      <c r="O304" s="14">
        <f>IF(COUNTIF(Assumptions!$A$25:$A$27,A304)&gt;0,1,0)</f>
        <v>0</v>
      </c>
      <c r="P304" s="14">
        <f>IF(COUNTIF(Assumptions!$B$25:$B$26,A304)&gt;0,1,0)</f>
        <v>0</v>
      </c>
      <c r="Q304" s="14">
        <f>IF(COUNTIF(Assumptions!$C$25:$C$25,A304)&gt;0,1,0)</f>
        <v>0</v>
      </c>
      <c r="R304" s="17">
        <f t="shared" si="25"/>
        <v>0</v>
      </c>
      <c r="S304" s="15" t="str">
        <f>IFERROR(VLOOKUP(A304,Assumptions!$A$31:$B$33,2,0),"")</f>
        <v/>
      </c>
      <c r="T304" s="15">
        <f t="shared" si="26"/>
        <v>122.86</v>
      </c>
      <c r="U304" s="15">
        <f t="shared" si="27"/>
        <v>352116.76</v>
      </c>
      <c r="V304" s="15">
        <f t="shared" si="28"/>
        <v>352116.76</v>
      </c>
      <c r="W304" s="15">
        <f t="shared" si="29"/>
        <v>0</v>
      </c>
    </row>
    <row r="305" spans="1:23" ht="15" customHeight="1" x14ac:dyDescent="0.2">
      <c r="A305" s="14" t="s">
        <v>876</v>
      </c>
      <c r="B305" s="14" t="s">
        <v>875</v>
      </c>
      <c r="C305" s="14" t="s">
        <v>2192</v>
      </c>
      <c r="D305" s="14" t="s">
        <v>39</v>
      </c>
      <c r="E305" s="14" t="s">
        <v>1988</v>
      </c>
      <c r="F305" s="14">
        <v>3481</v>
      </c>
      <c r="G305" s="15">
        <v>236.25</v>
      </c>
      <c r="H305" s="16">
        <v>45266</v>
      </c>
      <c r="I305" s="16">
        <v>45255</v>
      </c>
      <c r="J305" s="16"/>
      <c r="K305" s="14" t="s">
        <v>1994</v>
      </c>
      <c r="L305" s="16">
        <f>IF(D305="Packaging","",IF(ISNUMBER(J305),J305,IF(ISNUMBER(I305),EDATE(I305,VLOOKUP(D305,Assumptions!$A$10:$B$16,2,0)),"")))</f>
        <v>46351</v>
      </c>
      <c r="M305" s="14">
        <f>IF(ISNUMBER(L305),L305-Assumptions!$B$5,"")</f>
        <v>329</v>
      </c>
      <c r="N305" s="17">
        <f t="shared" si="24"/>
        <v>0</v>
      </c>
      <c r="O305" s="14">
        <f>IF(COUNTIF(Assumptions!$A$25:$A$27,A305)&gt;0,1,0)</f>
        <v>0</v>
      </c>
      <c r="P305" s="14">
        <f>IF(COUNTIF(Assumptions!$B$25:$B$26,A305)&gt;0,1,0)</f>
        <v>0</v>
      </c>
      <c r="Q305" s="14">
        <f>IF(COUNTIF(Assumptions!$C$25:$C$25,A305)&gt;0,1,0)</f>
        <v>0</v>
      </c>
      <c r="R305" s="17">
        <f t="shared" si="25"/>
        <v>0</v>
      </c>
      <c r="S305" s="15" t="str">
        <f>IFERROR(VLOOKUP(A305,Assumptions!$A$31:$B$33,2,0),"")</f>
        <v/>
      </c>
      <c r="T305" s="15">
        <f t="shared" si="26"/>
        <v>236.25</v>
      </c>
      <c r="U305" s="15">
        <f t="shared" si="27"/>
        <v>822386.25</v>
      </c>
      <c r="V305" s="15">
        <f t="shared" si="28"/>
        <v>822386.25</v>
      </c>
      <c r="W305" s="15">
        <f t="shared" si="29"/>
        <v>0</v>
      </c>
    </row>
    <row r="306" spans="1:23" ht="15" customHeight="1" x14ac:dyDescent="0.2">
      <c r="A306" s="14" t="s">
        <v>901</v>
      </c>
      <c r="B306" s="14" t="s">
        <v>900</v>
      </c>
      <c r="C306" s="14" t="s">
        <v>2192</v>
      </c>
      <c r="D306" s="14" t="s">
        <v>39</v>
      </c>
      <c r="E306" s="14" t="s">
        <v>1988</v>
      </c>
      <c r="F306" s="14">
        <v>2604</v>
      </c>
      <c r="G306" s="15">
        <v>191.92</v>
      </c>
      <c r="H306" s="16">
        <v>45590</v>
      </c>
      <c r="I306" s="16">
        <v>45528</v>
      </c>
      <c r="J306" s="16">
        <v>46623</v>
      </c>
      <c r="K306" s="14" t="s">
        <v>2030</v>
      </c>
      <c r="L306" s="16">
        <f>IF(D306="Packaging","",IF(ISNUMBER(J306),J306,IF(ISNUMBER(I306),EDATE(I306,VLOOKUP(D306,Assumptions!$A$10:$B$16,2,0)),"")))</f>
        <v>46623</v>
      </c>
      <c r="M306" s="14">
        <f>IF(ISNUMBER(L306),L306-Assumptions!$B$5,"")</f>
        <v>601</v>
      </c>
      <c r="N306" s="17">
        <f t="shared" si="24"/>
        <v>0</v>
      </c>
      <c r="O306" s="14">
        <f>IF(COUNTIF(Assumptions!$A$25:$A$27,A306)&gt;0,1,0)</f>
        <v>0</v>
      </c>
      <c r="P306" s="14">
        <f>IF(COUNTIF(Assumptions!$B$25:$B$26,A306)&gt;0,1,0)</f>
        <v>0</v>
      </c>
      <c r="Q306" s="14">
        <f>IF(COUNTIF(Assumptions!$C$25:$C$25,A306)&gt;0,1,0)</f>
        <v>0</v>
      </c>
      <c r="R306" s="17">
        <f t="shared" si="25"/>
        <v>0</v>
      </c>
      <c r="S306" s="15" t="str">
        <f>IFERROR(VLOOKUP(A306,Assumptions!$A$31:$B$33,2,0),"")</f>
        <v/>
      </c>
      <c r="T306" s="15">
        <f t="shared" si="26"/>
        <v>191.92</v>
      </c>
      <c r="U306" s="15">
        <f t="shared" si="27"/>
        <v>499759.68</v>
      </c>
      <c r="V306" s="15">
        <f t="shared" si="28"/>
        <v>499759.68</v>
      </c>
      <c r="W306" s="15">
        <f t="shared" si="29"/>
        <v>0</v>
      </c>
    </row>
    <row r="307" spans="1:23" ht="15" customHeight="1" x14ac:dyDescent="0.2">
      <c r="A307" s="14" t="s">
        <v>2489</v>
      </c>
      <c r="B307" s="14" t="s">
        <v>2490</v>
      </c>
      <c r="C307" s="14" t="s">
        <v>2027</v>
      </c>
      <c r="D307" s="14" t="s">
        <v>44</v>
      </c>
      <c r="E307" s="14" t="s">
        <v>1993</v>
      </c>
      <c r="F307" s="14">
        <v>1540</v>
      </c>
      <c r="G307" s="15">
        <v>77.63</v>
      </c>
      <c r="H307" s="16">
        <v>45986</v>
      </c>
      <c r="I307" s="16">
        <v>46164</v>
      </c>
      <c r="J307" s="16"/>
      <c r="K307" s="14" t="s">
        <v>1994</v>
      </c>
      <c r="L307" s="16">
        <f>IF(D307="Packaging","",IF(ISNUMBER(J307),J307,IF(ISNUMBER(I307),EDATE(I307,VLOOKUP(D307,Assumptions!$A$10:$B$16,2,0)),"")))</f>
        <v>46713</v>
      </c>
      <c r="M307" s="14">
        <f>IF(ISNUMBER(L307),L307-Assumptions!$B$5,"")</f>
        <v>691</v>
      </c>
      <c r="N307" s="17">
        <f t="shared" si="24"/>
        <v>0</v>
      </c>
      <c r="O307" s="14">
        <f>IF(COUNTIF(Assumptions!$A$25:$A$27,A307)&gt;0,1,0)</f>
        <v>0</v>
      </c>
      <c r="P307" s="14">
        <f>IF(COUNTIF(Assumptions!$B$25:$B$26,A307)&gt;0,1,0)</f>
        <v>0</v>
      </c>
      <c r="Q307" s="14">
        <f>IF(COUNTIF(Assumptions!$C$25:$C$25,A307)&gt;0,1,0)</f>
        <v>0</v>
      </c>
      <c r="R307" s="17">
        <f t="shared" si="25"/>
        <v>0</v>
      </c>
      <c r="S307" s="15" t="str">
        <f>IFERROR(VLOOKUP(A307,Assumptions!$A$31:$B$33,2,0),"")</f>
        <v/>
      </c>
      <c r="T307" s="15">
        <f t="shared" si="26"/>
        <v>77.63</v>
      </c>
      <c r="U307" s="15">
        <f t="shared" si="27"/>
        <v>119550.2</v>
      </c>
      <c r="V307" s="15">
        <f t="shared" si="28"/>
        <v>119550.2</v>
      </c>
      <c r="W307" s="15">
        <f t="shared" si="29"/>
        <v>0</v>
      </c>
    </row>
    <row r="308" spans="1:23" ht="15" customHeight="1" x14ac:dyDescent="0.2">
      <c r="A308" s="14" t="s">
        <v>2491</v>
      </c>
      <c r="B308" s="14" t="s">
        <v>2492</v>
      </c>
      <c r="C308" s="14" t="s">
        <v>2094</v>
      </c>
      <c r="D308" s="14" t="s">
        <v>47</v>
      </c>
      <c r="E308" s="14" t="s">
        <v>2037</v>
      </c>
      <c r="F308" s="14">
        <v>3966</v>
      </c>
      <c r="G308" s="15">
        <v>271.95</v>
      </c>
      <c r="H308" s="16">
        <v>45830</v>
      </c>
      <c r="I308" s="16">
        <v>45767</v>
      </c>
      <c r="J308" s="16"/>
      <c r="K308" s="14" t="s">
        <v>1994</v>
      </c>
      <c r="L308" s="16" t="str">
        <f>IF(D308="Packaging","",IF(ISNUMBER(J308),J308,IF(ISNUMBER(I308),EDATE(I308,VLOOKUP(D308,Assumptions!$A$10:$B$16,2,0)),"")))</f>
        <v/>
      </c>
      <c r="M308" s="14" t="str">
        <f>IF(ISNUMBER(L308),L308-Assumptions!$B$5,"")</f>
        <v/>
      </c>
      <c r="N308" s="17">
        <f t="shared" si="24"/>
        <v>0</v>
      </c>
      <c r="O308" s="14">
        <f>IF(COUNTIF(Assumptions!$A$25:$A$27,A308)&gt;0,1,0)</f>
        <v>0</v>
      </c>
      <c r="P308" s="14">
        <f>IF(COUNTIF(Assumptions!$B$25:$B$26,A308)&gt;0,1,0)</f>
        <v>0</v>
      </c>
      <c r="Q308" s="14">
        <f>IF(COUNTIF(Assumptions!$C$25:$C$25,A308)&gt;0,1,0)</f>
        <v>0</v>
      </c>
      <c r="R308" s="17">
        <f t="shared" si="25"/>
        <v>0</v>
      </c>
      <c r="S308" s="15" t="str">
        <f>IFERROR(VLOOKUP(A308,Assumptions!$A$31:$B$33,2,0),"")</f>
        <v/>
      </c>
      <c r="T308" s="15">
        <f t="shared" si="26"/>
        <v>271.95</v>
      </c>
      <c r="U308" s="15">
        <f t="shared" si="27"/>
        <v>1078553.7</v>
      </c>
      <c r="V308" s="15">
        <f t="shared" si="28"/>
        <v>1078553.7</v>
      </c>
      <c r="W308" s="15">
        <f t="shared" si="29"/>
        <v>0</v>
      </c>
    </row>
    <row r="309" spans="1:23" ht="15" customHeight="1" x14ac:dyDescent="0.2">
      <c r="A309" s="14" t="s">
        <v>924</v>
      </c>
      <c r="B309" s="14" t="s">
        <v>923</v>
      </c>
      <c r="C309" s="14" t="s">
        <v>2043</v>
      </c>
      <c r="D309" s="14" t="s">
        <v>39</v>
      </c>
      <c r="E309" s="14" t="s">
        <v>1993</v>
      </c>
      <c r="F309" s="14">
        <v>448</v>
      </c>
      <c r="G309" s="15">
        <v>411.76</v>
      </c>
      <c r="H309" s="16">
        <v>45211</v>
      </c>
      <c r="I309" s="16">
        <v>45167</v>
      </c>
      <c r="J309" s="16"/>
      <c r="K309" s="14" t="s">
        <v>2030</v>
      </c>
      <c r="L309" s="16">
        <f>IF(D309="Packaging","",IF(ISNUMBER(J309),J309,IF(ISNUMBER(I309),EDATE(I309,VLOOKUP(D309,Assumptions!$A$10:$B$16,2,0)),"")))</f>
        <v>46263</v>
      </c>
      <c r="M309" s="14">
        <f>IF(ISNUMBER(L309),L309-Assumptions!$B$5,"")</f>
        <v>241</v>
      </c>
      <c r="N309" s="17">
        <f t="shared" si="24"/>
        <v>0</v>
      </c>
      <c r="O309" s="14">
        <f>IF(COUNTIF(Assumptions!$A$25:$A$27,A309)&gt;0,1,0)</f>
        <v>0</v>
      </c>
      <c r="P309" s="14">
        <f>IF(COUNTIF(Assumptions!$B$25:$B$26,A309)&gt;0,1,0)</f>
        <v>0</v>
      </c>
      <c r="Q309" s="14">
        <f>IF(COUNTIF(Assumptions!$C$25:$C$25,A309)&gt;0,1,0)</f>
        <v>0</v>
      </c>
      <c r="R309" s="17">
        <f t="shared" si="25"/>
        <v>0</v>
      </c>
      <c r="S309" s="15" t="str">
        <f>IFERROR(VLOOKUP(A309,Assumptions!$A$31:$B$33,2,0),"")</f>
        <v/>
      </c>
      <c r="T309" s="15">
        <f t="shared" si="26"/>
        <v>411.76</v>
      </c>
      <c r="U309" s="15">
        <f t="shared" si="27"/>
        <v>184468.47999999998</v>
      </c>
      <c r="V309" s="15">
        <f t="shared" si="28"/>
        <v>184468.47999999998</v>
      </c>
      <c r="W309" s="15">
        <f t="shared" si="29"/>
        <v>0</v>
      </c>
    </row>
    <row r="310" spans="1:23" ht="15" customHeight="1" x14ac:dyDescent="0.2">
      <c r="A310" s="14" t="s">
        <v>2493</v>
      </c>
      <c r="B310" s="14" t="s">
        <v>2494</v>
      </c>
      <c r="C310" s="14" t="s">
        <v>2000</v>
      </c>
      <c r="D310" s="14" t="s">
        <v>45</v>
      </c>
      <c r="E310" s="14" t="s">
        <v>2037</v>
      </c>
      <c r="F310" s="14">
        <v>2562</v>
      </c>
      <c r="G310" s="15">
        <v>419.38</v>
      </c>
      <c r="H310" s="16">
        <v>46005</v>
      </c>
      <c r="I310" s="16">
        <v>46251</v>
      </c>
      <c r="J310" s="16">
        <v>46435</v>
      </c>
      <c r="K310" s="14" t="s">
        <v>2004</v>
      </c>
      <c r="L310" s="16">
        <f>IF(D310="Packaging","",IF(ISNUMBER(J310),J310,IF(ISNUMBER(I310),EDATE(I310,VLOOKUP(D310,Assumptions!$A$10:$B$16,2,0)),"")))</f>
        <v>46435</v>
      </c>
      <c r="M310" s="14">
        <f>IF(ISNUMBER(L310),L310-Assumptions!$B$5,"")</f>
        <v>413</v>
      </c>
      <c r="N310" s="17">
        <f t="shared" si="24"/>
        <v>0</v>
      </c>
      <c r="O310" s="14">
        <f>IF(COUNTIF(Assumptions!$A$25:$A$27,A310)&gt;0,1,0)</f>
        <v>0</v>
      </c>
      <c r="P310" s="14">
        <f>IF(COUNTIF(Assumptions!$B$25:$B$26,A310)&gt;0,1,0)</f>
        <v>0</v>
      </c>
      <c r="Q310" s="14">
        <f>IF(COUNTIF(Assumptions!$C$25:$C$25,A310)&gt;0,1,0)</f>
        <v>0</v>
      </c>
      <c r="R310" s="17">
        <f t="shared" si="25"/>
        <v>0</v>
      </c>
      <c r="S310" s="15" t="str">
        <f>IFERROR(VLOOKUP(A310,Assumptions!$A$31:$B$33,2,0),"")</f>
        <v/>
      </c>
      <c r="T310" s="15">
        <f t="shared" si="26"/>
        <v>419.38</v>
      </c>
      <c r="U310" s="15">
        <f t="shared" si="27"/>
        <v>1074451.56</v>
      </c>
      <c r="V310" s="15">
        <f t="shared" si="28"/>
        <v>1074451.56</v>
      </c>
      <c r="W310" s="15">
        <f t="shared" si="29"/>
        <v>0</v>
      </c>
    </row>
    <row r="311" spans="1:23" ht="15" customHeight="1" x14ac:dyDescent="0.2">
      <c r="A311" s="14" t="s">
        <v>458</v>
      </c>
      <c r="B311" s="14" t="s">
        <v>457</v>
      </c>
      <c r="C311" s="14" t="s">
        <v>1987</v>
      </c>
      <c r="D311" s="14" t="s">
        <v>36</v>
      </c>
      <c r="E311" s="14" t="s">
        <v>2037</v>
      </c>
      <c r="F311" s="14">
        <v>4758</v>
      </c>
      <c r="G311" s="15">
        <v>361.95</v>
      </c>
      <c r="H311" s="16">
        <v>45908</v>
      </c>
      <c r="I311" s="16">
        <v>45837</v>
      </c>
      <c r="J311" s="16"/>
      <c r="K311" s="14" t="s">
        <v>2004</v>
      </c>
      <c r="L311" s="16">
        <f>IF(D311="Packaging","",IF(ISNUMBER(J311),J311,IF(ISNUMBER(I311),EDATE(I311,VLOOKUP(D311,Assumptions!$A$10:$B$16,2,0)),"")))</f>
        <v>46567</v>
      </c>
      <c r="M311" s="14">
        <f>IF(ISNUMBER(L311),L311-Assumptions!$B$5,"")</f>
        <v>545</v>
      </c>
      <c r="N311" s="17">
        <f t="shared" si="24"/>
        <v>0</v>
      </c>
      <c r="O311" s="14">
        <f>IF(COUNTIF(Assumptions!$A$25:$A$27,A311)&gt;0,1,0)</f>
        <v>0</v>
      </c>
      <c r="P311" s="14">
        <f>IF(COUNTIF(Assumptions!$B$25:$B$26,A311)&gt;0,1,0)</f>
        <v>0</v>
      </c>
      <c r="Q311" s="14">
        <f>IF(COUNTIF(Assumptions!$C$25:$C$25,A311)&gt;0,1,0)</f>
        <v>0</v>
      </c>
      <c r="R311" s="17">
        <f t="shared" si="25"/>
        <v>0</v>
      </c>
      <c r="S311" s="15" t="str">
        <f>IFERROR(VLOOKUP(A311,Assumptions!$A$31:$B$33,2,0),"")</f>
        <v/>
      </c>
      <c r="T311" s="15">
        <f t="shared" si="26"/>
        <v>361.95</v>
      </c>
      <c r="U311" s="15">
        <f t="shared" si="27"/>
        <v>1722158.0999999999</v>
      </c>
      <c r="V311" s="15">
        <f t="shared" si="28"/>
        <v>1722158.0999999999</v>
      </c>
      <c r="W311" s="15">
        <f t="shared" si="29"/>
        <v>0</v>
      </c>
    </row>
    <row r="312" spans="1:23" ht="15" customHeight="1" x14ac:dyDescent="0.2">
      <c r="A312" s="14" t="s">
        <v>930</v>
      </c>
      <c r="B312" s="14" t="s">
        <v>929</v>
      </c>
      <c r="C312" s="14" t="s">
        <v>2022</v>
      </c>
      <c r="D312" s="14" t="s">
        <v>39</v>
      </c>
      <c r="E312" s="14" t="s">
        <v>1993</v>
      </c>
      <c r="F312" s="14">
        <v>4699</v>
      </c>
      <c r="G312" s="15">
        <v>296.38</v>
      </c>
      <c r="H312" s="16">
        <v>45635</v>
      </c>
      <c r="I312" s="16">
        <v>45558</v>
      </c>
      <c r="J312" s="16"/>
      <c r="K312" s="14" t="s">
        <v>2015</v>
      </c>
      <c r="L312" s="16">
        <f>IF(D312="Packaging","",IF(ISNUMBER(J312),J312,IF(ISNUMBER(I312),EDATE(I312,VLOOKUP(D312,Assumptions!$A$10:$B$16,2,0)),"")))</f>
        <v>46653</v>
      </c>
      <c r="M312" s="14">
        <f>IF(ISNUMBER(L312),L312-Assumptions!$B$5,"")</f>
        <v>631</v>
      </c>
      <c r="N312" s="17">
        <f t="shared" si="24"/>
        <v>0</v>
      </c>
      <c r="O312" s="14">
        <f>IF(COUNTIF(Assumptions!$A$25:$A$27,A312)&gt;0,1,0)</f>
        <v>0</v>
      </c>
      <c r="P312" s="14">
        <f>IF(COUNTIF(Assumptions!$B$25:$B$26,A312)&gt;0,1,0)</f>
        <v>0</v>
      </c>
      <c r="Q312" s="14">
        <f>IF(COUNTIF(Assumptions!$C$25:$C$25,A312)&gt;0,1,0)</f>
        <v>0</v>
      </c>
      <c r="R312" s="17">
        <f t="shared" si="25"/>
        <v>0</v>
      </c>
      <c r="S312" s="15" t="str">
        <f>IFERROR(VLOOKUP(A312,Assumptions!$A$31:$B$33,2,0),"")</f>
        <v/>
      </c>
      <c r="T312" s="15">
        <f t="shared" si="26"/>
        <v>296.38</v>
      </c>
      <c r="U312" s="15">
        <f t="shared" si="27"/>
        <v>1392689.6199999999</v>
      </c>
      <c r="V312" s="15">
        <f t="shared" si="28"/>
        <v>1392689.6199999999</v>
      </c>
      <c r="W312" s="15">
        <f t="shared" si="29"/>
        <v>0</v>
      </c>
    </row>
    <row r="313" spans="1:23" ht="15" customHeight="1" x14ac:dyDescent="0.2">
      <c r="A313" s="14" t="s">
        <v>2495</v>
      </c>
      <c r="B313" s="14" t="s">
        <v>2496</v>
      </c>
      <c r="C313" s="14" t="s">
        <v>2159</v>
      </c>
      <c r="D313" s="14" t="s">
        <v>46</v>
      </c>
      <c r="E313" s="14" t="s">
        <v>2037</v>
      </c>
      <c r="F313" s="14">
        <v>2870</v>
      </c>
      <c r="G313" s="15">
        <v>133.65</v>
      </c>
      <c r="H313" s="16">
        <v>45978</v>
      </c>
      <c r="I313" s="16">
        <v>46077</v>
      </c>
      <c r="J313" s="16">
        <v>46350</v>
      </c>
      <c r="K313" s="14" t="s">
        <v>2030</v>
      </c>
      <c r="L313" s="16">
        <f>IF(D313="Packaging","",IF(ISNUMBER(J313),J313,IF(ISNUMBER(I313),EDATE(I313,VLOOKUP(D313,Assumptions!$A$10:$B$16,2,0)),"")))</f>
        <v>46350</v>
      </c>
      <c r="M313" s="14">
        <f>IF(ISNUMBER(L313),L313-Assumptions!$B$5,"")</f>
        <v>328</v>
      </c>
      <c r="N313" s="17">
        <f t="shared" si="24"/>
        <v>0</v>
      </c>
      <c r="O313" s="14">
        <f>IF(COUNTIF(Assumptions!$A$25:$A$27,A313)&gt;0,1,0)</f>
        <v>0</v>
      </c>
      <c r="P313" s="14">
        <f>IF(COUNTIF(Assumptions!$B$25:$B$26,A313)&gt;0,1,0)</f>
        <v>0</v>
      </c>
      <c r="Q313" s="14">
        <f>IF(COUNTIF(Assumptions!$C$25:$C$25,A313)&gt;0,1,0)</f>
        <v>0</v>
      </c>
      <c r="R313" s="17">
        <f t="shared" si="25"/>
        <v>0</v>
      </c>
      <c r="S313" s="15" t="str">
        <f>IFERROR(VLOOKUP(A313,Assumptions!$A$31:$B$33,2,0),"")</f>
        <v/>
      </c>
      <c r="T313" s="15">
        <f t="shared" si="26"/>
        <v>133.65</v>
      </c>
      <c r="U313" s="15">
        <f t="shared" si="27"/>
        <v>383575.5</v>
      </c>
      <c r="V313" s="15">
        <f t="shared" si="28"/>
        <v>383575.5</v>
      </c>
      <c r="W313" s="15">
        <f t="shared" si="29"/>
        <v>0</v>
      </c>
    </row>
    <row r="314" spans="1:23" ht="15" customHeight="1" x14ac:dyDescent="0.2">
      <c r="A314" s="14" t="s">
        <v>2497</v>
      </c>
      <c r="B314" s="14" t="s">
        <v>2498</v>
      </c>
      <c r="C314" s="14" t="s">
        <v>2049</v>
      </c>
      <c r="D314" s="14" t="s">
        <v>42</v>
      </c>
      <c r="E314" s="14" t="s">
        <v>1988</v>
      </c>
      <c r="F314" s="14">
        <v>2759</v>
      </c>
      <c r="G314" s="15">
        <v>264.33999999999997</v>
      </c>
      <c r="H314" s="16">
        <v>45983</v>
      </c>
      <c r="I314" s="16">
        <v>46175</v>
      </c>
      <c r="J314" s="16">
        <v>46540</v>
      </c>
      <c r="K314" s="14" t="s">
        <v>1989</v>
      </c>
      <c r="L314" s="16">
        <f>IF(D314="Packaging","",IF(ISNUMBER(J314),J314,IF(ISNUMBER(I314),EDATE(I314,VLOOKUP(D314,Assumptions!$A$10:$B$16,2,0)),"")))</f>
        <v>46540</v>
      </c>
      <c r="M314" s="14">
        <f>IF(ISNUMBER(L314),L314-Assumptions!$B$5,"")</f>
        <v>518</v>
      </c>
      <c r="N314" s="17">
        <f t="shared" si="24"/>
        <v>0</v>
      </c>
      <c r="O314" s="14">
        <f>IF(COUNTIF(Assumptions!$A$25:$A$27,A314)&gt;0,1,0)</f>
        <v>0</v>
      </c>
      <c r="P314" s="14">
        <f>IF(COUNTIF(Assumptions!$B$25:$B$26,A314)&gt;0,1,0)</f>
        <v>0</v>
      </c>
      <c r="Q314" s="14">
        <f>IF(COUNTIF(Assumptions!$C$25:$C$25,A314)&gt;0,1,0)</f>
        <v>0</v>
      </c>
      <c r="R314" s="17">
        <f t="shared" si="25"/>
        <v>0</v>
      </c>
      <c r="S314" s="15" t="str">
        <f>IFERROR(VLOOKUP(A314,Assumptions!$A$31:$B$33,2,0),"")</f>
        <v/>
      </c>
      <c r="T314" s="15">
        <f t="shared" si="26"/>
        <v>264.33999999999997</v>
      </c>
      <c r="U314" s="15">
        <f t="shared" si="27"/>
        <v>729314.05999999994</v>
      </c>
      <c r="V314" s="15">
        <f t="shared" si="28"/>
        <v>729314.05999999994</v>
      </c>
      <c r="W314" s="15">
        <f t="shared" si="29"/>
        <v>0</v>
      </c>
    </row>
    <row r="315" spans="1:23" ht="15" customHeight="1" x14ac:dyDescent="0.2">
      <c r="A315" s="14" t="s">
        <v>2499</v>
      </c>
      <c r="B315" s="14" t="s">
        <v>2500</v>
      </c>
      <c r="C315" s="14" t="s">
        <v>1426</v>
      </c>
      <c r="D315" s="14" t="s">
        <v>44</v>
      </c>
      <c r="E315" s="14" t="s">
        <v>2037</v>
      </c>
      <c r="F315" s="14">
        <v>4163</v>
      </c>
      <c r="G315" s="15">
        <v>357.6</v>
      </c>
      <c r="H315" s="16">
        <v>45973</v>
      </c>
      <c r="I315" s="16">
        <v>46118</v>
      </c>
      <c r="J315" s="16">
        <v>46666</v>
      </c>
      <c r="K315" s="14" t="s">
        <v>2030</v>
      </c>
      <c r="L315" s="16">
        <f>IF(D315="Packaging","",IF(ISNUMBER(J315),J315,IF(ISNUMBER(I315),EDATE(I315,VLOOKUP(D315,Assumptions!$A$10:$B$16,2,0)),"")))</f>
        <v>46666</v>
      </c>
      <c r="M315" s="14">
        <f>IF(ISNUMBER(L315),L315-Assumptions!$B$5,"")</f>
        <v>644</v>
      </c>
      <c r="N315" s="17">
        <f t="shared" si="24"/>
        <v>0</v>
      </c>
      <c r="O315" s="14">
        <f>IF(COUNTIF(Assumptions!$A$25:$A$27,A315)&gt;0,1,0)</f>
        <v>0</v>
      </c>
      <c r="P315" s="14">
        <f>IF(COUNTIF(Assumptions!$B$25:$B$26,A315)&gt;0,1,0)</f>
        <v>0</v>
      </c>
      <c r="Q315" s="14">
        <f>IF(COUNTIF(Assumptions!$C$25:$C$25,A315)&gt;0,1,0)</f>
        <v>0</v>
      </c>
      <c r="R315" s="17">
        <f t="shared" si="25"/>
        <v>0</v>
      </c>
      <c r="S315" s="15" t="str">
        <f>IFERROR(VLOOKUP(A315,Assumptions!$A$31:$B$33,2,0),"")</f>
        <v/>
      </c>
      <c r="T315" s="15">
        <f t="shared" si="26"/>
        <v>357.6</v>
      </c>
      <c r="U315" s="15">
        <f t="shared" si="27"/>
        <v>1488688.8</v>
      </c>
      <c r="V315" s="15">
        <f t="shared" si="28"/>
        <v>1488688.8</v>
      </c>
      <c r="W315" s="15">
        <f t="shared" si="29"/>
        <v>0</v>
      </c>
    </row>
    <row r="316" spans="1:23" ht="15" customHeight="1" x14ac:dyDescent="0.2">
      <c r="A316" s="14" t="s">
        <v>2501</v>
      </c>
      <c r="B316" s="14" t="s">
        <v>2502</v>
      </c>
      <c r="C316" s="14" t="s">
        <v>2010</v>
      </c>
      <c r="D316" s="14" t="s">
        <v>46</v>
      </c>
      <c r="E316" s="14" t="s">
        <v>2037</v>
      </c>
      <c r="F316" s="14">
        <v>2533</v>
      </c>
      <c r="G316" s="15">
        <v>95.39</v>
      </c>
      <c r="H316" s="16">
        <v>45976</v>
      </c>
      <c r="I316" s="16">
        <v>46303</v>
      </c>
      <c r="J316" s="16"/>
      <c r="K316" s="14" t="s">
        <v>1994</v>
      </c>
      <c r="L316" s="16">
        <f>IF(D316="Packaging","",IF(ISNUMBER(J316),J316,IF(ISNUMBER(I316),EDATE(I316,VLOOKUP(D316,Assumptions!$A$10:$B$16,2,0)),"")))</f>
        <v>46576</v>
      </c>
      <c r="M316" s="14">
        <f>IF(ISNUMBER(L316),L316-Assumptions!$B$5,"")</f>
        <v>554</v>
      </c>
      <c r="N316" s="17">
        <f t="shared" si="24"/>
        <v>0</v>
      </c>
      <c r="O316" s="14">
        <f>IF(COUNTIF(Assumptions!$A$25:$A$27,A316)&gt;0,1,0)</f>
        <v>0</v>
      </c>
      <c r="P316" s="14">
        <f>IF(COUNTIF(Assumptions!$B$25:$B$26,A316)&gt;0,1,0)</f>
        <v>0</v>
      </c>
      <c r="Q316" s="14">
        <f>IF(COUNTIF(Assumptions!$C$25:$C$25,A316)&gt;0,1,0)</f>
        <v>0</v>
      </c>
      <c r="R316" s="17">
        <f t="shared" si="25"/>
        <v>0</v>
      </c>
      <c r="S316" s="15" t="str">
        <f>IFERROR(VLOOKUP(A316,Assumptions!$A$31:$B$33,2,0),"")</f>
        <v/>
      </c>
      <c r="T316" s="15">
        <f t="shared" si="26"/>
        <v>95.39</v>
      </c>
      <c r="U316" s="15">
        <f t="shared" si="27"/>
        <v>241622.87</v>
      </c>
      <c r="V316" s="15">
        <f t="shared" si="28"/>
        <v>241622.87</v>
      </c>
      <c r="W316" s="15">
        <f t="shared" si="29"/>
        <v>0</v>
      </c>
    </row>
    <row r="317" spans="1:23" ht="15" customHeight="1" x14ac:dyDescent="0.2">
      <c r="A317" s="14" t="s">
        <v>478</v>
      </c>
      <c r="B317" s="14" t="s">
        <v>477</v>
      </c>
      <c r="C317" s="14" t="s">
        <v>1987</v>
      </c>
      <c r="D317" s="14" t="s">
        <v>36</v>
      </c>
      <c r="E317" s="14" t="s">
        <v>2014</v>
      </c>
      <c r="F317" s="14">
        <v>3759</v>
      </c>
      <c r="G317" s="15">
        <v>150.68</v>
      </c>
      <c r="H317" s="16">
        <v>45710</v>
      </c>
      <c r="I317" s="16">
        <v>45684</v>
      </c>
      <c r="J317" s="16"/>
      <c r="K317" s="14" t="s">
        <v>1994</v>
      </c>
      <c r="L317" s="16">
        <f>IF(D317="Packaging","",IF(ISNUMBER(J317),J317,IF(ISNUMBER(I317),EDATE(I317,VLOOKUP(D317,Assumptions!$A$10:$B$16,2,0)),"")))</f>
        <v>46414</v>
      </c>
      <c r="M317" s="14">
        <f>IF(ISNUMBER(L317),L317-Assumptions!$B$5,"")</f>
        <v>392</v>
      </c>
      <c r="N317" s="17">
        <f t="shared" si="24"/>
        <v>0</v>
      </c>
      <c r="O317" s="14">
        <f>IF(COUNTIF(Assumptions!$A$25:$A$27,A317)&gt;0,1,0)</f>
        <v>0</v>
      </c>
      <c r="P317" s="14">
        <f>IF(COUNTIF(Assumptions!$B$25:$B$26,A317)&gt;0,1,0)</f>
        <v>0</v>
      </c>
      <c r="Q317" s="14">
        <f>IF(COUNTIF(Assumptions!$C$25:$C$25,A317)&gt;0,1,0)</f>
        <v>0</v>
      </c>
      <c r="R317" s="17">
        <f t="shared" si="25"/>
        <v>0</v>
      </c>
      <c r="S317" s="15" t="str">
        <f>IFERROR(VLOOKUP(A317,Assumptions!$A$31:$B$33,2,0),"")</f>
        <v/>
      </c>
      <c r="T317" s="15">
        <f t="shared" si="26"/>
        <v>150.68</v>
      </c>
      <c r="U317" s="15">
        <f t="shared" si="27"/>
        <v>566406.12</v>
      </c>
      <c r="V317" s="15">
        <f t="shared" si="28"/>
        <v>566406.12</v>
      </c>
      <c r="W317" s="15">
        <f t="shared" si="29"/>
        <v>0</v>
      </c>
    </row>
    <row r="318" spans="1:23" ht="15" customHeight="1" x14ac:dyDescent="0.2">
      <c r="A318" s="14" t="s">
        <v>2503</v>
      </c>
      <c r="B318" s="14" t="s">
        <v>2504</v>
      </c>
      <c r="C318" s="14" t="s">
        <v>2042</v>
      </c>
      <c r="D318" s="14" t="s">
        <v>47</v>
      </c>
      <c r="E318" s="14" t="s">
        <v>2037</v>
      </c>
      <c r="F318" s="14">
        <v>4554</v>
      </c>
      <c r="G318" s="15">
        <v>134.18</v>
      </c>
      <c r="H318" s="16">
        <v>45728</v>
      </c>
      <c r="I318" s="16">
        <v>45705</v>
      </c>
      <c r="J318" s="16"/>
      <c r="K318" s="14" t="s">
        <v>1989</v>
      </c>
      <c r="L318" s="16" t="str">
        <f>IF(D318="Packaging","",IF(ISNUMBER(J318),J318,IF(ISNUMBER(I318),EDATE(I318,VLOOKUP(D318,Assumptions!$A$10:$B$16,2,0)),"")))</f>
        <v/>
      </c>
      <c r="M318" s="14" t="str">
        <f>IF(ISNUMBER(L318),L318-Assumptions!$B$5,"")</f>
        <v/>
      </c>
      <c r="N318" s="17">
        <f t="shared" si="24"/>
        <v>0</v>
      </c>
      <c r="O318" s="14">
        <f>IF(COUNTIF(Assumptions!$A$25:$A$27,A318)&gt;0,1,0)</f>
        <v>0</v>
      </c>
      <c r="P318" s="14">
        <f>IF(COUNTIF(Assumptions!$B$25:$B$26,A318)&gt;0,1,0)</f>
        <v>0</v>
      </c>
      <c r="Q318" s="14">
        <f>IF(COUNTIF(Assumptions!$C$25:$C$25,A318)&gt;0,1,0)</f>
        <v>0</v>
      </c>
      <c r="R318" s="17">
        <f t="shared" si="25"/>
        <v>0</v>
      </c>
      <c r="S318" s="15" t="str">
        <f>IFERROR(VLOOKUP(A318,Assumptions!$A$31:$B$33,2,0),"")</f>
        <v/>
      </c>
      <c r="T318" s="15">
        <f t="shared" si="26"/>
        <v>134.18</v>
      </c>
      <c r="U318" s="15">
        <f t="shared" si="27"/>
        <v>611055.72000000009</v>
      </c>
      <c r="V318" s="15">
        <f t="shared" si="28"/>
        <v>611055.72000000009</v>
      </c>
      <c r="W318" s="15">
        <f t="shared" si="29"/>
        <v>0</v>
      </c>
    </row>
    <row r="319" spans="1:23" ht="15" customHeight="1" x14ac:dyDescent="0.2">
      <c r="A319" s="14" t="s">
        <v>2505</v>
      </c>
      <c r="B319" s="14" t="s">
        <v>2506</v>
      </c>
      <c r="C319" s="14" t="s">
        <v>2027</v>
      </c>
      <c r="D319" s="14" t="s">
        <v>44</v>
      </c>
      <c r="E319" s="14" t="s">
        <v>1993</v>
      </c>
      <c r="F319" s="14">
        <v>2782</v>
      </c>
      <c r="G319" s="15">
        <v>234.51</v>
      </c>
      <c r="H319" s="16">
        <v>45990</v>
      </c>
      <c r="I319" s="16">
        <v>46120</v>
      </c>
      <c r="J319" s="16"/>
      <c r="K319" s="14" t="s">
        <v>2030</v>
      </c>
      <c r="L319" s="16">
        <f>IF(D319="Packaging","",IF(ISNUMBER(J319),J319,IF(ISNUMBER(I319),EDATE(I319,VLOOKUP(D319,Assumptions!$A$10:$B$16,2,0)),"")))</f>
        <v>46668</v>
      </c>
      <c r="M319" s="14">
        <f>IF(ISNUMBER(L319),L319-Assumptions!$B$5,"")</f>
        <v>646</v>
      </c>
      <c r="N319" s="17">
        <f t="shared" si="24"/>
        <v>0</v>
      </c>
      <c r="O319" s="14">
        <f>IF(COUNTIF(Assumptions!$A$25:$A$27,A319)&gt;0,1,0)</f>
        <v>0</v>
      </c>
      <c r="P319" s="14">
        <f>IF(COUNTIF(Assumptions!$B$25:$B$26,A319)&gt;0,1,0)</f>
        <v>0</v>
      </c>
      <c r="Q319" s="14">
        <f>IF(COUNTIF(Assumptions!$C$25:$C$25,A319)&gt;0,1,0)</f>
        <v>0</v>
      </c>
      <c r="R319" s="17">
        <f t="shared" si="25"/>
        <v>0</v>
      </c>
      <c r="S319" s="15" t="str">
        <f>IFERROR(VLOOKUP(A319,Assumptions!$A$31:$B$33,2,0),"")</f>
        <v/>
      </c>
      <c r="T319" s="15">
        <f t="shared" si="26"/>
        <v>234.51</v>
      </c>
      <c r="U319" s="15">
        <f t="shared" si="27"/>
        <v>652406.81999999995</v>
      </c>
      <c r="V319" s="15">
        <f t="shared" si="28"/>
        <v>652406.81999999995</v>
      </c>
      <c r="W319" s="15">
        <f t="shared" si="29"/>
        <v>0</v>
      </c>
    </row>
    <row r="320" spans="1:23" ht="15" customHeight="1" x14ac:dyDescent="0.2">
      <c r="A320" s="14" t="s">
        <v>2507</v>
      </c>
      <c r="B320" s="14" t="s">
        <v>2508</v>
      </c>
      <c r="C320" s="14" t="s">
        <v>2010</v>
      </c>
      <c r="D320" s="14" t="s">
        <v>46</v>
      </c>
      <c r="E320" s="14" t="s">
        <v>2014</v>
      </c>
      <c r="F320" s="14">
        <v>2676</v>
      </c>
      <c r="G320" s="15">
        <v>220.97</v>
      </c>
      <c r="H320" s="16">
        <v>45996</v>
      </c>
      <c r="I320" s="16">
        <v>46046</v>
      </c>
      <c r="J320" s="16"/>
      <c r="K320" s="14" t="s">
        <v>2030</v>
      </c>
      <c r="L320" s="16">
        <f>IF(D320="Packaging","",IF(ISNUMBER(J320),J320,IF(ISNUMBER(I320),EDATE(I320,VLOOKUP(D320,Assumptions!$A$10:$B$16,2,0)),"")))</f>
        <v>46319</v>
      </c>
      <c r="M320" s="14">
        <f>IF(ISNUMBER(L320),L320-Assumptions!$B$5,"")</f>
        <v>297</v>
      </c>
      <c r="N320" s="17">
        <f t="shared" si="24"/>
        <v>0</v>
      </c>
      <c r="O320" s="14">
        <f>IF(COUNTIF(Assumptions!$A$25:$A$27,A320)&gt;0,1,0)</f>
        <v>0</v>
      </c>
      <c r="P320" s="14">
        <f>IF(COUNTIF(Assumptions!$B$25:$B$26,A320)&gt;0,1,0)</f>
        <v>0</v>
      </c>
      <c r="Q320" s="14">
        <f>IF(COUNTIF(Assumptions!$C$25:$C$25,A320)&gt;0,1,0)</f>
        <v>0</v>
      </c>
      <c r="R320" s="17">
        <f t="shared" si="25"/>
        <v>0</v>
      </c>
      <c r="S320" s="15" t="str">
        <f>IFERROR(VLOOKUP(A320,Assumptions!$A$31:$B$33,2,0),"")</f>
        <v/>
      </c>
      <c r="T320" s="15">
        <f t="shared" si="26"/>
        <v>220.97</v>
      </c>
      <c r="U320" s="15">
        <f t="shared" si="27"/>
        <v>591315.72</v>
      </c>
      <c r="V320" s="15">
        <f t="shared" si="28"/>
        <v>591315.72</v>
      </c>
      <c r="W320" s="15">
        <f t="shared" si="29"/>
        <v>0</v>
      </c>
    </row>
    <row r="321" spans="1:23" ht="15" customHeight="1" x14ac:dyDescent="0.2">
      <c r="A321" s="14" t="s">
        <v>2509</v>
      </c>
      <c r="B321" s="14" t="s">
        <v>2510</v>
      </c>
      <c r="C321" s="14" t="s">
        <v>2000</v>
      </c>
      <c r="D321" s="14" t="s">
        <v>45</v>
      </c>
      <c r="E321" s="14" t="s">
        <v>2014</v>
      </c>
      <c r="F321" s="14">
        <v>3984</v>
      </c>
      <c r="G321" s="15">
        <v>64.069999999999993</v>
      </c>
      <c r="H321" s="16">
        <v>46011</v>
      </c>
      <c r="I321" s="16">
        <v>46245</v>
      </c>
      <c r="J321" s="16"/>
      <c r="K321" s="14" t="s">
        <v>2021</v>
      </c>
      <c r="L321" s="16">
        <f>IF(D321="Packaging","",IF(ISNUMBER(J321),J321,IF(ISNUMBER(I321),EDATE(I321,VLOOKUP(D321,Assumptions!$A$10:$B$16,2,0)),"")))</f>
        <v>46429</v>
      </c>
      <c r="M321" s="14">
        <f>IF(ISNUMBER(L321),L321-Assumptions!$B$5,"")</f>
        <v>407</v>
      </c>
      <c r="N321" s="17">
        <f t="shared" si="24"/>
        <v>0</v>
      </c>
      <c r="O321" s="14">
        <f>IF(COUNTIF(Assumptions!$A$25:$A$27,A321)&gt;0,1,0)</f>
        <v>0</v>
      </c>
      <c r="P321" s="14">
        <f>IF(COUNTIF(Assumptions!$B$25:$B$26,A321)&gt;0,1,0)</f>
        <v>0</v>
      </c>
      <c r="Q321" s="14">
        <f>IF(COUNTIF(Assumptions!$C$25:$C$25,A321)&gt;0,1,0)</f>
        <v>0</v>
      </c>
      <c r="R321" s="17">
        <f t="shared" si="25"/>
        <v>0</v>
      </c>
      <c r="S321" s="15" t="str">
        <f>IFERROR(VLOOKUP(A321,Assumptions!$A$31:$B$33,2,0),"")</f>
        <v/>
      </c>
      <c r="T321" s="15">
        <f t="shared" si="26"/>
        <v>64.069999999999993</v>
      </c>
      <c r="U321" s="15">
        <f t="shared" si="27"/>
        <v>255254.87999999998</v>
      </c>
      <c r="V321" s="15">
        <f t="shared" si="28"/>
        <v>255254.87999999998</v>
      </c>
      <c r="W321" s="15">
        <f t="shared" si="29"/>
        <v>0</v>
      </c>
    </row>
    <row r="322" spans="1:23" ht="15" customHeight="1" x14ac:dyDescent="0.2">
      <c r="A322" s="14" t="s">
        <v>2511</v>
      </c>
      <c r="B322" s="14" t="s">
        <v>2512</v>
      </c>
      <c r="C322" s="14" t="s">
        <v>2137</v>
      </c>
      <c r="D322" s="14" t="s">
        <v>36</v>
      </c>
      <c r="E322" s="14" t="s">
        <v>2014</v>
      </c>
      <c r="F322" s="14">
        <v>4035</v>
      </c>
      <c r="G322" s="15">
        <v>346.75</v>
      </c>
      <c r="H322" s="16">
        <v>46005</v>
      </c>
      <c r="I322" s="16">
        <v>46098</v>
      </c>
      <c r="J322" s="16">
        <v>46829</v>
      </c>
      <c r="K322" s="14" t="s">
        <v>1989</v>
      </c>
      <c r="L322" s="16">
        <f>IF(D322="Packaging","",IF(ISNUMBER(J322),J322,IF(ISNUMBER(I322),EDATE(I322,VLOOKUP(D322,Assumptions!$A$10:$B$16,2,0)),"")))</f>
        <v>46829</v>
      </c>
      <c r="M322" s="14">
        <f>IF(ISNUMBER(L322),L322-Assumptions!$B$5,"")</f>
        <v>807</v>
      </c>
      <c r="N322" s="17">
        <f t="shared" ref="N322:N385" si="30">IF(D322="Packaging",0,IF(NOT(ISNUMBER(L322)),0,IF(M322&lt;0,1,IF(M322&lt;=90,0.5,IF(M322&lt;=180,0.25,0)))))</f>
        <v>0</v>
      </c>
      <c r="O322" s="14">
        <f>IF(COUNTIF(Assumptions!$A$25:$A$27,A322)&gt;0,1,0)</f>
        <v>0</v>
      </c>
      <c r="P322" s="14">
        <f>IF(COUNTIF(Assumptions!$B$25:$B$26,A322)&gt;0,1,0)</f>
        <v>0</v>
      </c>
      <c r="Q322" s="14">
        <f>IF(COUNTIF(Assumptions!$C$25:$C$25,A322)&gt;0,1,0)</f>
        <v>0</v>
      </c>
      <c r="R322" s="17">
        <f t="shared" ref="R322:R385" si="31">IF(OR(O322=1,Q322=1),1,IF(P322=1,0.5,N322))</f>
        <v>0</v>
      </c>
      <c r="S322" s="15" t="str">
        <f>IFERROR(VLOOKUP(A322,Assumptions!$A$31:$B$33,2,0),"")</f>
        <v/>
      </c>
      <c r="T322" s="15">
        <f t="shared" ref="T322:T385" si="32">IF(S322="",G322,MIN(G322,S322))</f>
        <v>346.75</v>
      </c>
      <c r="U322" s="15">
        <f t="shared" ref="U322:U385" si="33">F322*G322</f>
        <v>1399136.25</v>
      </c>
      <c r="V322" s="15">
        <f t="shared" ref="V322:V385" si="34">F322*T322*(1-R322)</f>
        <v>1399136.25</v>
      </c>
      <c r="W322" s="15">
        <f t="shared" ref="W322:W385" si="35">U322-V322</f>
        <v>0</v>
      </c>
    </row>
    <row r="323" spans="1:23" ht="15" customHeight="1" x14ac:dyDescent="0.2">
      <c r="A323" s="14" t="s">
        <v>2513</v>
      </c>
      <c r="B323" s="14" t="s">
        <v>2514</v>
      </c>
      <c r="C323" s="14" t="s">
        <v>2033</v>
      </c>
      <c r="D323" s="14" t="s">
        <v>47</v>
      </c>
      <c r="E323" s="14" t="s">
        <v>2037</v>
      </c>
      <c r="F323" s="14">
        <v>291</v>
      </c>
      <c r="G323" s="15">
        <v>185.94</v>
      </c>
      <c r="H323" s="16">
        <v>45496</v>
      </c>
      <c r="I323" s="16">
        <v>45434</v>
      </c>
      <c r="J323" s="16"/>
      <c r="K323" s="14" t="s">
        <v>1989</v>
      </c>
      <c r="L323" s="16" t="str">
        <f>IF(D323="Packaging","",IF(ISNUMBER(J323),J323,IF(ISNUMBER(I323),EDATE(I323,VLOOKUP(D323,Assumptions!$A$10:$B$16,2,0)),"")))</f>
        <v/>
      </c>
      <c r="M323" s="14" t="str">
        <f>IF(ISNUMBER(L323),L323-Assumptions!$B$5,"")</f>
        <v/>
      </c>
      <c r="N323" s="17">
        <f t="shared" si="30"/>
        <v>0</v>
      </c>
      <c r="O323" s="14">
        <f>IF(COUNTIF(Assumptions!$A$25:$A$27,A323)&gt;0,1,0)</f>
        <v>0</v>
      </c>
      <c r="P323" s="14">
        <f>IF(COUNTIF(Assumptions!$B$25:$B$26,A323)&gt;0,1,0)</f>
        <v>0</v>
      </c>
      <c r="Q323" s="14">
        <f>IF(COUNTIF(Assumptions!$C$25:$C$25,A323)&gt;0,1,0)</f>
        <v>0</v>
      </c>
      <c r="R323" s="17">
        <f t="shared" si="31"/>
        <v>0</v>
      </c>
      <c r="S323" s="15" t="str">
        <f>IFERROR(VLOOKUP(A323,Assumptions!$A$31:$B$33,2,0),"")</f>
        <v/>
      </c>
      <c r="T323" s="15">
        <f t="shared" si="32"/>
        <v>185.94</v>
      </c>
      <c r="U323" s="15">
        <f t="shared" si="33"/>
        <v>54108.54</v>
      </c>
      <c r="V323" s="15">
        <f t="shared" si="34"/>
        <v>54108.54</v>
      </c>
      <c r="W323" s="15">
        <f t="shared" si="35"/>
        <v>0</v>
      </c>
    </row>
    <row r="324" spans="1:23" ht="15" customHeight="1" x14ac:dyDescent="0.2">
      <c r="A324" s="14" t="s">
        <v>41</v>
      </c>
      <c r="B324" s="14" t="s">
        <v>2515</v>
      </c>
      <c r="C324" s="14" t="s">
        <v>1426</v>
      </c>
      <c r="D324" s="14" t="s">
        <v>44</v>
      </c>
      <c r="E324" s="14" t="s">
        <v>1993</v>
      </c>
      <c r="F324" s="14">
        <v>4956</v>
      </c>
      <c r="G324" s="15">
        <v>263.63</v>
      </c>
      <c r="H324" s="16">
        <v>46006</v>
      </c>
      <c r="I324" s="16">
        <v>46211</v>
      </c>
      <c r="J324" s="16">
        <v>46760</v>
      </c>
      <c r="K324" s="14" t="s">
        <v>2052</v>
      </c>
      <c r="L324" s="16">
        <f>IF(D324="Packaging","",IF(ISNUMBER(J324),J324,IF(ISNUMBER(I324),EDATE(I324,VLOOKUP(D324,Assumptions!$A$10:$B$16,2,0)),"")))</f>
        <v>46760</v>
      </c>
      <c r="M324" s="14">
        <f>IF(ISNUMBER(L324),L324-Assumptions!$B$5,"")</f>
        <v>738</v>
      </c>
      <c r="N324" s="17">
        <f t="shared" si="30"/>
        <v>0</v>
      </c>
      <c r="O324" s="14">
        <f>IF(COUNTIF(Assumptions!$A$25:$A$27,A324)&gt;0,1,0)</f>
        <v>0</v>
      </c>
      <c r="P324" s="14">
        <f>IF(COUNTIF(Assumptions!$B$25:$B$26,A324)&gt;0,1,0)</f>
        <v>0</v>
      </c>
      <c r="Q324" s="14">
        <f>IF(COUNTIF(Assumptions!$C$25:$C$25,A324)&gt;0,1,0)</f>
        <v>0</v>
      </c>
      <c r="R324" s="17">
        <f t="shared" si="31"/>
        <v>0</v>
      </c>
      <c r="S324" s="15">
        <f>IFERROR(VLOOKUP(A324,Assumptions!$A$31:$B$33,2,0),"")</f>
        <v>131.81</v>
      </c>
      <c r="T324" s="15">
        <f t="shared" si="32"/>
        <v>131.81</v>
      </c>
      <c r="U324" s="15">
        <f t="shared" si="33"/>
        <v>1306550.28</v>
      </c>
      <c r="V324" s="15">
        <f t="shared" si="34"/>
        <v>653250.36</v>
      </c>
      <c r="W324" s="15">
        <f t="shared" si="35"/>
        <v>653299.92000000004</v>
      </c>
    </row>
    <row r="325" spans="1:23" ht="15" customHeight="1" x14ac:dyDescent="0.2">
      <c r="A325" s="14" t="s">
        <v>2516</v>
      </c>
      <c r="B325" s="14" t="s">
        <v>2517</v>
      </c>
      <c r="C325" s="14" t="s">
        <v>2142</v>
      </c>
      <c r="D325" s="14" t="s">
        <v>44</v>
      </c>
      <c r="E325" s="14" t="s">
        <v>2014</v>
      </c>
      <c r="F325" s="14">
        <v>2262</v>
      </c>
      <c r="G325" s="15">
        <v>37.619999999999997</v>
      </c>
      <c r="H325" s="16">
        <v>45431</v>
      </c>
      <c r="I325" s="16">
        <v>45375</v>
      </c>
      <c r="J325" s="16"/>
      <c r="K325" s="14" t="s">
        <v>2004</v>
      </c>
      <c r="L325" s="16">
        <f>IF(D325="Packaging","",IF(ISNUMBER(J325),J325,IF(ISNUMBER(I325),EDATE(I325,VLOOKUP(D325,Assumptions!$A$10:$B$16,2,0)),"")))</f>
        <v>45924</v>
      </c>
      <c r="M325" s="14">
        <f>IF(ISNUMBER(L325),L325-Assumptions!$B$5,"")</f>
        <v>-98</v>
      </c>
      <c r="N325" s="17">
        <f t="shared" si="30"/>
        <v>1</v>
      </c>
      <c r="O325" s="14">
        <f>IF(COUNTIF(Assumptions!$A$25:$A$27,A325)&gt;0,1,0)</f>
        <v>0</v>
      </c>
      <c r="P325" s="14">
        <f>IF(COUNTIF(Assumptions!$B$25:$B$26,A325)&gt;0,1,0)</f>
        <v>0</v>
      </c>
      <c r="Q325" s="14">
        <f>IF(COUNTIF(Assumptions!$C$25:$C$25,A325)&gt;0,1,0)</f>
        <v>0</v>
      </c>
      <c r="R325" s="17">
        <f t="shared" si="31"/>
        <v>1</v>
      </c>
      <c r="S325" s="15" t="str">
        <f>IFERROR(VLOOKUP(A325,Assumptions!$A$31:$B$33,2,0),"")</f>
        <v/>
      </c>
      <c r="T325" s="15">
        <f t="shared" si="32"/>
        <v>37.619999999999997</v>
      </c>
      <c r="U325" s="15">
        <f t="shared" si="33"/>
        <v>85096.439999999988</v>
      </c>
      <c r="V325" s="15">
        <f t="shared" si="34"/>
        <v>0</v>
      </c>
      <c r="W325" s="15">
        <f t="shared" si="35"/>
        <v>85096.439999999988</v>
      </c>
    </row>
    <row r="326" spans="1:23" ht="15" customHeight="1" x14ac:dyDescent="0.2">
      <c r="A326" s="14" t="s">
        <v>2518</v>
      </c>
      <c r="B326" s="14" t="s">
        <v>2519</v>
      </c>
      <c r="C326" s="14" t="s">
        <v>2013</v>
      </c>
      <c r="D326" s="14" t="s">
        <v>44</v>
      </c>
      <c r="E326" s="14" t="s">
        <v>1993</v>
      </c>
      <c r="F326" s="14">
        <v>4416</v>
      </c>
      <c r="G326" s="15">
        <v>249.93</v>
      </c>
      <c r="H326" s="16">
        <v>46010</v>
      </c>
      <c r="I326" s="16">
        <v>46201</v>
      </c>
      <c r="J326" s="16">
        <v>46749</v>
      </c>
      <c r="K326" s="14" t="s">
        <v>2021</v>
      </c>
      <c r="L326" s="16">
        <f>IF(D326="Packaging","",IF(ISNUMBER(J326),J326,IF(ISNUMBER(I326),EDATE(I326,VLOOKUP(D326,Assumptions!$A$10:$B$16,2,0)),"")))</f>
        <v>46749</v>
      </c>
      <c r="M326" s="14">
        <f>IF(ISNUMBER(L326),L326-Assumptions!$B$5,"")</f>
        <v>727</v>
      </c>
      <c r="N326" s="17">
        <f t="shared" si="30"/>
        <v>0</v>
      </c>
      <c r="O326" s="14">
        <f>IF(COUNTIF(Assumptions!$A$25:$A$27,A326)&gt;0,1,0)</f>
        <v>0</v>
      </c>
      <c r="P326" s="14">
        <f>IF(COUNTIF(Assumptions!$B$25:$B$26,A326)&gt;0,1,0)</f>
        <v>0</v>
      </c>
      <c r="Q326" s="14">
        <f>IF(COUNTIF(Assumptions!$C$25:$C$25,A326)&gt;0,1,0)</f>
        <v>0</v>
      </c>
      <c r="R326" s="17">
        <f t="shared" si="31"/>
        <v>0</v>
      </c>
      <c r="S326" s="15" t="str">
        <f>IFERROR(VLOOKUP(A326,Assumptions!$A$31:$B$33,2,0),"")</f>
        <v/>
      </c>
      <c r="T326" s="15">
        <f t="shared" si="32"/>
        <v>249.93</v>
      </c>
      <c r="U326" s="15">
        <f t="shared" si="33"/>
        <v>1103690.8800000001</v>
      </c>
      <c r="V326" s="15">
        <f t="shared" si="34"/>
        <v>1103690.8800000001</v>
      </c>
      <c r="W326" s="15">
        <f t="shared" si="35"/>
        <v>0</v>
      </c>
    </row>
    <row r="327" spans="1:23" ht="15" customHeight="1" x14ac:dyDescent="0.2">
      <c r="A327" s="14" t="s">
        <v>2520</v>
      </c>
      <c r="B327" s="14" t="s">
        <v>2521</v>
      </c>
      <c r="C327" s="14" t="s">
        <v>2049</v>
      </c>
      <c r="D327" s="14" t="s">
        <v>42</v>
      </c>
      <c r="E327" s="14" t="s">
        <v>2014</v>
      </c>
      <c r="F327" s="14">
        <v>647</v>
      </c>
      <c r="G327" s="15">
        <v>170.71</v>
      </c>
      <c r="H327" s="16">
        <v>45983</v>
      </c>
      <c r="I327" s="16">
        <v>46178</v>
      </c>
      <c r="J327" s="16">
        <v>46543</v>
      </c>
      <c r="K327" s="14" t="s">
        <v>2021</v>
      </c>
      <c r="L327" s="16">
        <f>IF(D327="Packaging","",IF(ISNUMBER(J327),J327,IF(ISNUMBER(I327),EDATE(I327,VLOOKUP(D327,Assumptions!$A$10:$B$16,2,0)),"")))</f>
        <v>46543</v>
      </c>
      <c r="M327" s="14">
        <f>IF(ISNUMBER(L327),L327-Assumptions!$B$5,"")</f>
        <v>521</v>
      </c>
      <c r="N327" s="17">
        <f t="shared" si="30"/>
        <v>0</v>
      </c>
      <c r="O327" s="14">
        <f>IF(COUNTIF(Assumptions!$A$25:$A$27,A327)&gt;0,1,0)</f>
        <v>0</v>
      </c>
      <c r="P327" s="14">
        <f>IF(COUNTIF(Assumptions!$B$25:$B$26,A327)&gt;0,1,0)</f>
        <v>0</v>
      </c>
      <c r="Q327" s="14">
        <f>IF(COUNTIF(Assumptions!$C$25:$C$25,A327)&gt;0,1,0)</f>
        <v>0</v>
      </c>
      <c r="R327" s="17">
        <f t="shared" si="31"/>
        <v>0</v>
      </c>
      <c r="S327" s="15" t="str">
        <f>IFERROR(VLOOKUP(A327,Assumptions!$A$31:$B$33,2,0),"")</f>
        <v/>
      </c>
      <c r="T327" s="15">
        <f t="shared" si="32"/>
        <v>170.71</v>
      </c>
      <c r="U327" s="15">
        <f t="shared" si="33"/>
        <v>110449.37000000001</v>
      </c>
      <c r="V327" s="15">
        <f t="shared" si="34"/>
        <v>110449.37000000001</v>
      </c>
      <c r="W327" s="15">
        <f t="shared" si="35"/>
        <v>0</v>
      </c>
    </row>
    <row r="328" spans="1:23" ht="15" customHeight="1" x14ac:dyDescent="0.2">
      <c r="A328" s="14" t="s">
        <v>933</v>
      </c>
      <c r="B328" s="14" t="s">
        <v>932</v>
      </c>
      <c r="C328" s="14" t="s">
        <v>2192</v>
      </c>
      <c r="D328" s="14" t="s">
        <v>39</v>
      </c>
      <c r="E328" s="14" t="s">
        <v>2037</v>
      </c>
      <c r="F328" s="14">
        <v>4008</v>
      </c>
      <c r="G328" s="15">
        <v>341.75</v>
      </c>
      <c r="H328" s="16">
        <v>45682</v>
      </c>
      <c r="I328" s="16">
        <v>45633</v>
      </c>
      <c r="J328" s="16">
        <v>46728</v>
      </c>
      <c r="K328" s="14" t="s">
        <v>2004</v>
      </c>
      <c r="L328" s="16">
        <f>IF(D328="Packaging","",IF(ISNUMBER(J328),J328,IF(ISNUMBER(I328),EDATE(I328,VLOOKUP(D328,Assumptions!$A$10:$B$16,2,0)),"")))</f>
        <v>46728</v>
      </c>
      <c r="M328" s="14">
        <f>IF(ISNUMBER(L328),L328-Assumptions!$B$5,"")</f>
        <v>706</v>
      </c>
      <c r="N328" s="17">
        <f t="shared" si="30"/>
        <v>0</v>
      </c>
      <c r="O328" s="14">
        <f>IF(COUNTIF(Assumptions!$A$25:$A$27,A328)&gt;0,1,0)</f>
        <v>0</v>
      </c>
      <c r="P328" s="14">
        <f>IF(COUNTIF(Assumptions!$B$25:$B$26,A328)&gt;0,1,0)</f>
        <v>0</v>
      </c>
      <c r="Q328" s="14">
        <f>IF(COUNTIF(Assumptions!$C$25:$C$25,A328)&gt;0,1,0)</f>
        <v>0</v>
      </c>
      <c r="R328" s="17">
        <f t="shared" si="31"/>
        <v>0</v>
      </c>
      <c r="S328" s="15" t="str">
        <f>IFERROR(VLOOKUP(A328,Assumptions!$A$31:$B$33,2,0),"")</f>
        <v/>
      </c>
      <c r="T328" s="15">
        <f t="shared" si="32"/>
        <v>341.75</v>
      </c>
      <c r="U328" s="15">
        <f t="shared" si="33"/>
        <v>1369734</v>
      </c>
      <c r="V328" s="15">
        <f t="shared" si="34"/>
        <v>1369734</v>
      </c>
      <c r="W328" s="15">
        <f t="shared" si="35"/>
        <v>0</v>
      </c>
    </row>
    <row r="329" spans="1:23" ht="15" customHeight="1" x14ac:dyDescent="0.2">
      <c r="A329" s="14" t="s">
        <v>504</v>
      </c>
      <c r="B329" s="14" t="s">
        <v>503</v>
      </c>
      <c r="C329" s="14" t="s">
        <v>2104</v>
      </c>
      <c r="D329" s="14" t="s">
        <v>36</v>
      </c>
      <c r="E329" s="14" t="s">
        <v>1988</v>
      </c>
      <c r="F329" s="14">
        <v>447</v>
      </c>
      <c r="G329" s="15">
        <v>211.96</v>
      </c>
      <c r="H329" s="16">
        <v>45912</v>
      </c>
      <c r="I329" s="16">
        <v>45856</v>
      </c>
      <c r="J329" s="16">
        <v>46586</v>
      </c>
      <c r="K329" s="14" t="s">
        <v>1989</v>
      </c>
      <c r="L329" s="16">
        <f>IF(D329="Packaging","",IF(ISNUMBER(J329),J329,IF(ISNUMBER(I329),EDATE(I329,VLOOKUP(D329,Assumptions!$A$10:$B$16,2,0)),"")))</f>
        <v>46586</v>
      </c>
      <c r="M329" s="14">
        <f>IF(ISNUMBER(L329),L329-Assumptions!$B$5,"")</f>
        <v>564</v>
      </c>
      <c r="N329" s="17">
        <f t="shared" si="30"/>
        <v>0</v>
      </c>
      <c r="O329" s="14">
        <f>IF(COUNTIF(Assumptions!$A$25:$A$27,A329)&gt;0,1,0)</f>
        <v>0</v>
      </c>
      <c r="P329" s="14">
        <f>IF(COUNTIF(Assumptions!$B$25:$B$26,A329)&gt;0,1,0)</f>
        <v>0</v>
      </c>
      <c r="Q329" s="14">
        <f>IF(COUNTIF(Assumptions!$C$25:$C$25,A329)&gt;0,1,0)</f>
        <v>0</v>
      </c>
      <c r="R329" s="17">
        <f t="shared" si="31"/>
        <v>0</v>
      </c>
      <c r="S329" s="15" t="str">
        <f>IFERROR(VLOOKUP(A329,Assumptions!$A$31:$B$33,2,0),"")</f>
        <v/>
      </c>
      <c r="T329" s="15">
        <f t="shared" si="32"/>
        <v>211.96</v>
      </c>
      <c r="U329" s="15">
        <f t="shared" si="33"/>
        <v>94746.12000000001</v>
      </c>
      <c r="V329" s="15">
        <f t="shared" si="34"/>
        <v>94746.12000000001</v>
      </c>
      <c r="W329" s="15">
        <f t="shared" si="35"/>
        <v>0</v>
      </c>
    </row>
    <row r="330" spans="1:23" ht="15" customHeight="1" x14ac:dyDescent="0.2">
      <c r="A330" s="14" t="s">
        <v>78</v>
      </c>
      <c r="B330" s="14" t="s">
        <v>77</v>
      </c>
      <c r="C330" s="14" t="s">
        <v>2066</v>
      </c>
      <c r="D330" s="14" t="s">
        <v>42</v>
      </c>
      <c r="E330" s="14" t="s">
        <v>1988</v>
      </c>
      <c r="F330" s="14">
        <v>2692</v>
      </c>
      <c r="G330" s="15">
        <v>68.900000000000006</v>
      </c>
      <c r="H330" s="16">
        <v>45899</v>
      </c>
      <c r="I330" s="16">
        <v>45873</v>
      </c>
      <c r="J330" s="16">
        <v>46238</v>
      </c>
      <c r="K330" s="14" t="s">
        <v>2030</v>
      </c>
      <c r="L330" s="16">
        <f>IF(D330="Packaging","",IF(ISNUMBER(J330),J330,IF(ISNUMBER(I330),EDATE(I330,VLOOKUP(D330,Assumptions!$A$10:$B$16,2,0)),"")))</f>
        <v>46238</v>
      </c>
      <c r="M330" s="14">
        <f>IF(ISNUMBER(L330),L330-Assumptions!$B$5,"")</f>
        <v>216</v>
      </c>
      <c r="N330" s="17">
        <f t="shared" si="30"/>
        <v>0</v>
      </c>
      <c r="O330" s="14">
        <f>IF(COUNTIF(Assumptions!$A$25:$A$27,A330)&gt;0,1,0)</f>
        <v>0</v>
      </c>
      <c r="P330" s="14">
        <f>IF(COUNTIF(Assumptions!$B$25:$B$26,A330)&gt;0,1,0)</f>
        <v>0</v>
      </c>
      <c r="Q330" s="14">
        <f>IF(COUNTIF(Assumptions!$C$25:$C$25,A330)&gt;0,1,0)</f>
        <v>0</v>
      </c>
      <c r="R330" s="17">
        <f t="shared" si="31"/>
        <v>0</v>
      </c>
      <c r="S330" s="15" t="str">
        <f>IFERROR(VLOOKUP(A330,Assumptions!$A$31:$B$33,2,0),"")</f>
        <v/>
      </c>
      <c r="T330" s="15">
        <f t="shared" si="32"/>
        <v>68.900000000000006</v>
      </c>
      <c r="U330" s="15">
        <f t="shared" si="33"/>
        <v>185478.80000000002</v>
      </c>
      <c r="V330" s="15">
        <f t="shared" si="34"/>
        <v>185478.80000000002</v>
      </c>
      <c r="W330" s="15">
        <f t="shared" si="35"/>
        <v>0</v>
      </c>
    </row>
    <row r="331" spans="1:23" ht="15" customHeight="1" x14ac:dyDescent="0.2">
      <c r="A331" s="14" t="s">
        <v>2522</v>
      </c>
      <c r="B331" s="14" t="s">
        <v>2523</v>
      </c>
      <c r="C331" s="14" t="s">
        <v>1426</v>
      </c>
      <c r="D331" s="14" t="s">
        <v>44</v>
      </c>
      <c r="E331" s="14" t="s">
        <v>2037</v>
      </c>
      <c r="F331" s="14">
        <v>409</v>
      </c>
      <c r="G331" s="15">
        <v>120.2</v>
      </c>
      <c r="H331" s="16">
        <v>45976</v>
      </c>
      <c r="I331" s="16">
        <v>46045</v>
      </c>
      <c r="J331" s="16">
        <v>46591</v>
      </c>
      <c r="K331" s="14" t="s">
        <v>1994</v>
      </c>
      <c r="L331" s="16">
        <f>IF(D331="Packaging","",IF(ISNUMBER(J331),J331,IF(ISNUMBER(I331),EDATE(I331,VLOOKUP(D331,Assumptions!$A$10:$B$16,2,0)),"")))</f>
        <v>46591</v>
      </c>
      <c r="M331" s="14">
        <f>IF(ISNUMBER(L331),L331-Assumptions!$B$5,"")</f>
        <v>569</v>
      </c>
      <c r="N331" s="17">
        <f t="shared" si="30"/>
        <v>0</v>
      </c>
      <c r="O331" s="14">
        <f>IF(COUNTIF(Assumptions!$A$25:$A$27,A331)&gt;0,1,0)</f>
        <v>0</v>
      </c>
      <c r="P331" s="14">
        <f>IF(COUNTIF(Assumptions!$B$25:$B$26,A331)&gt;0,1,0)</f>
        <v>0</v>
      </c>
      <c r="Q331" s="14">
        <f>IF(COUNTIF(Assumptions!$C$25:$C$25,A331)&gt;0,1,0)</f>
        <v>0</v>
      </c>
      <c r="R331" s="17">
        <f t="shared" si="31"/>
        <v>0</v>
      </c>
      <c r="S331" s="15" t="str">
        <f>IFERROR(VLOOKUP(A331,Assumptions!$A$31:$B$33,2,0),"")</f>
        <v/>
      </c>
      <c r="T331" s="15">
        <f t="shared" si="32"/>
        <v>120.2</v>
      </c>
      <c r="U331" s="15">
        <f t="shared" si="33"/>
        <v>49161.8</v>
      </c>
      <c r="V331" s="15">
        <f t="shared" si="34"/>
        <v>49161.8</v>
      </c>
      <c r="W331" s="15">
        <f t="shared" si="35"/>
        <v>0</v>
      </c>
    </row>
    <row r="332" spans="1:23" ht="15" customHeight="1" x14ac:dyDescent="0.2">
      <c r="A332" s="14" t="s">
        <v>2524</v>
      </c>
      <c r="B332" s="14" t="s">
        <v>2525</v>
      </c>
      <c r="C332" s="14" t="s">
        <v>2219</v>
      </c>
      <c r="D332" s="14" t="s">
        <v>42</v>
      </c>
      <c r="E332" s="14" t="s">
        <v>1993</v>
      </c>
      <c r="F332" s="14">
        <v>4818</v>
      </c>
      <c r="G332" s="15">
        <v>328.48</v>
      </c>
      <c r="H332" s="16">
        <v>45977</v>
      </c>
      <c r="I332" s="16">
        <v>45993</v>
      </c>
      <c r="J332" s="16"/>
      <c r="K332" s="14" t="s">
        <v>2052</v>
      </c>
      <c r="L332" s="16">
        <f>IF(D332="Packaging","",IF(ISNUMBER(J332),J332,IF(ISNUMBER(I332),EDATE(I332,VLOOKUP(D332,Assumptions!$A$10:$B$16,2,0)),"")))</f>
        <v>46358</v>
      </c>
      <c r="M332" s="14">
        <f>IF(ISNUMBER(L332),L332-Assumptions!$B$5,"")</f>
        <v>336</v>
      </c>
      <c r="N332" s="17">
        <f t="shared" si="30"/>
        <v>0</v>
      </c>
      <c r="O332" s="14">
        <f>IF(COUNTIF(Assumptions!$A$25:$A$27,A332)&gt;0,1,0)</f>
        <v>0</v>
      </c>
      <c r="P332" s="14">
        <f>IF(COUNTIF(Assumptions!$B$25:$B$26,A332)&gt;0,1,0)</f>
        <v>0</v>
      </c>
      <c r="Q332" s="14">
        <f>IF(COUNTIF(Assumptions!$C$25:$C$25,A332)&gt;0,1,0)</f>
        <v>0</v>
      </c>
      <c r="R332" s="17">
        <f t="shared" si="31"/>
        <v>0</v>
      </c>
      <c r="S332" s="15" t="str">
        <f>IFERROR(VLOOKUP(A332,Assumptions!$A$31:$B$33,2,0),"")</f>
        <v/>
      </c>
      <c r="T332" s="15">
        <f t="shared" si="32"/>
        <v>328.48</v>
      </c>
      <c r="U332" s="15">
        <f t="shared" si="33"/>
        <v>1582616.6400000001</v>
      </c>
      <c r="V332" s="15">
        <f t="shared" si="34"/>
        <v>1582616.6400000001</v>
      </c>
      <c r="W332" s="15">
        <f t="shared" si="35"/>
        <v>0</v>
      </c>
    </row>
    <row r="333" spans="1:23" ht="15" customHeight="1" x14ac:dyDescent="0.2">
      <c r="A333" s="14" t="s">
        <v>2526</v>
      </c>
      <c r="B333" s="14" t="s">
        <v>2527</v>
      </c>
      <c r="C333" s="14" t="s">
        <v>2036</v>
      </c>
      <c r="D333" s="14" t="s">
        <v>45</v>
      </c>
      <c r="E333" s="14" t="s">
        <v>2037</v>
      </c>
      <c r="F333" s="14">
        <v>2698</v>
      </c>
      <c r="G333" s="15">
        <v>396.68</v>
      </c>
      <c r="H333" s="16">
        <v>45849</v>
      </c>
      <c r="I333" s="16">
        <v>45792</v>
      </c>
      <c r="J333" s="16"/>
      <c r="K333" s="14" t="s">
        <v>2021</v>
      </c>
      <c r="L333" s="16">
        <f>IF(D333="Packaging","",IF(ISNUMBER(J333),J333,IF(ISNUMBER(I333),EDATE(I333,VLOOKUP(D333,Assumptions!$A$10:$B$16,2,0)),"")))</f>
        <v>45976</v>
      </c>
      <c r="M333" s="14">
        <f>IF(ISNUMBER(L333),L333-Assumptions!$B$5,"")</f>
        <v>-46</v>
      </c>
      <c r="N333" s="17">
        <f t="shared" si="30"/>
        <v>1</v>
      </c>
      <c r="O333" s="14">
        <f>IF(COUNTIF(Assumptions!$A$25:$A$27,A333)&gt;0,1,0)</f>
        <v>0</v>
      </c>
      <c r="P333" s="14">
        <f>IF(COUNTIF(Assumptions!$B$25:$B$26,A333)&gt;0,1,0)</f>
        <v>0</v>
      </c>
      <c r="Q333" s="14">
        <f>IF(COUNTIF(Assumptions!$C$25:$C$25,A333)&gt;0,1,0)</f>
        <v>0</v>
      </c>
      <c r="R333" s="17">
        <f t="shared" si="31"/>
        <v>1</v>
      </c>
      <c r="S333" s="15" t="str">
        <f>IFERROR(VLOOKUP(A333,Assumptions!$A$31:$B$33,2,0),"")</f>
        <v/>
      </c>
      <c r="T333" s="15">
        <f t="shared" si="32"/>
        <v>396.68</v>
      </c>
      <c r="U333" s="15">
        <f t="shared" si="33"/>
        <v>1070242.6400000001</v>
      </c>
      <c r="V333" s="15">
        <f t="shared" si="34"/>
        <v>0</v>
      </c>
      <c r="W333" s="15">
        <f t="shared" si="35"/>
        <v>1070242.6400000001</v>
      </c>
    </row>
    <row r="334" spans="1:23" ht="15" customHeight="1" x14ac:dyDescent="0.2">
      <c r="A334" s="14" t="s">
        <v>2528</v>
      </c>
      <c r="B334" s="14" t="s">
        <v>2529</v>
      </c>
      <c r="C334" s="14" t="s">
        <v>2042</v>
      </c>
      <c r="D334" s="14" t="s">
        <v>47</v>
      </c>
      <c r="E334" s="14" t="s">
        <v>1988</v>
      </c>
      <c r="F334" s="14">
        <v>1263</v>
      </c>
      <c r="G334" s="15">
        <v>320.62</v>
      </c>
      <c r="H334" s="16">
        <v>45765</v>
      </c>
      <c r="I334" s="16">
        <v>45701</v>
      </c>
      <c r="J334" s="16"/>
      <c r="K334" s="14" t="s">
        <v>2015</v>
      </c>
      <c r="L334" s="16" t="str">
        <f>IF(D334="Packaging","",IF(ISNUMBER(J334),J334,IF(ISNUMBER(I334),EDATE(I334,VLOOKUP(D334,Assumptions!$A$10:$B$16,2,0)),"")))</f>
        <v/>
      </c>
      <c r="M334" s="14" t="str">
        <f>IF(ISNUMBER(L334),L334-Assumptions!$B$5,"")</f>
        <v/>
      </c>
      <c r="N334" s="17">
        <f t="shared" si="30"/>
        <v>0</v>
      </c>
      <c r="O334" s="14">
        <f>IF(COUNTIF(Assumptions!$A$25:$A$27,A334)&gt;0,1,0)</f>
        <v>0</v>
      </c>
      <c r="P334" s="14">
        <f>IF(COUNTIF(Assumptions!$B$25:$B$26,A334)&gt;0,1,0)</f>
        <v>0</v>
      </c>
      <c r="Q334" s="14">
        <f>IF(COUNTIF(Assumptions!$C$25:$C$25,A334)&gt;0,1,0)</f>
        <v>0</v>
      </c>
      <c r="R334" s="17">
        <f t="shared" si="31"/>
        <v>0</v>
      </c>
      <c r="S334" s="15" t="str">
        <f>IFERROR(VLOOKUP(A334,Assumptions!$A$31:$B$33,2,0),"")</f>
        <v/>
      </c>
      <c r="T334" s="15">
        <f t="shared" si="32"/>
        <v>320.62</v>
      </c>
      <c r="U334" s="15">
        <f t="shared" si="33"/>
        <v>404943.06</v>
      </c>
      <c r="V334" s="15">
        <f t="shared" si="34"/>
        <v>404943.06</v>
      </c>
      <c r="W334" s="15">
        <f t="shared" si="35"/>
        <v>0</v>
      </c>
    </row>
    <row r="335" spans="1:23" ht="15" customHeight="1" x14ac:dyDescent="0.2">
      <c r="A335" s="14" t="s">
        <v>2530</v>
      </c>
      <c r="B335" s="14" t="s">
        <v>2531</v>
      </c>
      <c r="C335" s="14" t="s">
        <v>2000</v>
      </c>
      <c r="D335" s="14" t="s">
        <v>45</v>
      </c>
      <c r="E335" s="14" t="s">
        <v>2037</v>
      </c>
      <c r="F335" s="14">
        <v>3153</v>
      </c>
      <c r="G335" s="15">
        <v>372.82</v>
      </c>
      <c r="H335" s="16">
        <v>46009</v>
      </c>
      <c r="I335" s="16">
        <v>46505</v>
      </c>
      <c r="J335" s="16">
        <v>46688</v>
      </c>
      <c r="K335" s="14" t="s">
        <v>2021</v>
      </c>
      <c r="L335" s="16">
        <f>IF(D335="Packaging","",IF(ISNUMBER(J335),J335,IF(ISNUMBER(I335),EDATE(I335,VLOOKUP(D335,Assumptions!$A$10:$B$16,2,0)),"")))</f>
        <v>46688</v>
      </c>
      <c r="M335" s="14">
        <f>IF(ISNUMBER(L335),L335-Assumptions!$B$5,"")</f>
        <v>666</v>
      </c>
      <c r="N335" s="17">
        <f t="shared" si="30"/>
        <v>0</v>
      </c>
      <c r="O335" s="14">
        <f>IF(COUNTIF(Assumptions!$A$25:$A$27,A335)&gt;0,1,0)</f>
        <v>0</v>
      </c>
      <c r="P335" s="14">
        <f>IF(COUNTIF(Assumptions!$B$25:$B$26,A335)&gt;0,1,0)</f>
        <v>0</v>
      </c>
      <c r="Q335" s="14">
        <f>IF(COUNTIF(Assumptions!$C$25:$C$25,A335)&gt;0,1,0)</f>
        <v>0</v>
      </c>
      <c r="R335" s="17">
        <f t="shared" si="31"/>
        <v>0</v>
      </c>
      <c r="S335" s="15" t="str">
        <f>IFERROR(VLOOKUP(A335,Assumptions!$A$31:$B$33,2,0),"")</f>
        <v/>
      </c>
      <c r="T335" s="15">
        <f t="shared" si="32"/>
        <v>372.82</v>
      </c>
      <c r="U335" s="15">
        <f t="shared" si="33"/>
        <v>1175501.46</v>
      </c>
      <c r="V335" s="15">
        <f t="shared" si="34"/>
        <v>1175501.46</v>
      </c>
      <c r="W335" s="15">
        <f t="shared" si="35"/>
        <v>0</v>
      </c>
    </row>
    <row r="336" spans="1:23" ht="15" customHeight="1" x14ac:dyDescent="0.2">
      <c r="A336" s="14" t="s">
        <v>2532</v>
      </c>
      <c r="B336" s="14" t="s">
        <v>2533</v>
      </c>
      <c r="C336" s="14" t="s">
        <v>2107</v>
      </c>
      <c r="D336" s="14" t="s">
        <v>42</v>
      </c>
      <c r="E336" s="14" t="s">
        <v>2037</v>
      </c>
      <c r="F336" s="14">
        <v>3236</v>
      </c>
      <c r="G336" s="15">
        <v>295.55</v>
      </c>
      <c r="H336" s="16">
        <v>46015</v>
      </c>
      <c r="I336" s="16">
        <v>46270</v>
      </c>
      <c r="J336" s="16">
        <v>46635</v>
      </c>
      <c r="K336" s="14" t="s">
        <v>2021</v>
      </c>
      <c r="L336" s="16">
        <f>IF(D336="Packaging","",IF(ISNUMBER(J336),J336,IF(ISNUMBER(I336),EDATE(I336,VLOOKUP(D336,Assumptions!$A$10:$B$16,2,0)),"")))</f>
        <v>46635</v>
      </c>
      <c r="M336" s="14">
        <f>IF(ISNUMBER(L336),L336-Assumptions!$B$5,"")</f>
        <v>613</v>
      </c>
      <c r="N336" s="17">
        <f t="shared" si="30"/>
        <v>0</v>
      </c>
      <c r="O336" s="14">
        <f>IF(COUNTIF(Assumptions!$A$25:$A$27,A336)&gt;0,1,0)</f>
        <v>0</v>
      </c>
      <c r="P336" s="14">
        <f>IF(COUNTIF(Assumptions!$B$25:$B$26,A336)&gt;0,1,0)</f>
        <v>0</v>
      </c>
      <c r="Q336" s="14">
        <f>IF(COUNTIF(Assumptions!$C$25:$C$25,A336)&gt;0,1,0)</f>
        <v>0</v>
      </c>
      <c r="R336" s="17">
        <f t="shared" si="31"/>
        <v>0</v>
      </c>
      <c r="S336" s="15" t="str">
        <f>IFERROR(VLOOKUP(A336,Assumptions!$A$31:$B$33,2,0),"")</f>
        <v/>
      </c>
      <c r="T336" s="15">
        <f t="shared" si="32"/>
        <v>295.55</v>
      </c>
      <c r="U336" s="15">
        <f t="shared" si="33"/>
        <v>956399.8</v>
      </c>
      <c r="V336" s="15">
        <f t="shared" si="34"/>
        <v>956399.8</v>
      </c>
      <c r="W336" s="15">
        <f t="shared" si="35"/>
        <v>0</v>
      </c>
    </row>
    <row r="337" spans="1:23" ht="15" customHeight="1" x14ac:dyDescent="0.2">
      <c r="A337" s="14" t="s">
        <v>2534</v>
      </c>
      <c r="B337" s="14" t="s">
        <v>2535</v>
      </c>
      <c r="C337" s="14" t="s">
        <v>2003</v>
      </c>
      <c r="D337" s="14" t="s">
        <v>46</v>
      </c>
      <c r="E337" s="14" t="s">
        <v>1988</v>
      </c>
      <c r="F337" s="14">
        <v>93</v>
      </c>
      <c r="G337" s="15">
        <v>361.32</v>
      </c>
      <c r="H337" s="16">
        <v>45995</v>
      </c>
      <c r="I337" s="16">
        <v>46118</v>
      </c>
      <c r="J337" s="16"/>
      <c r="K337" s="14" t="s">
        <v>1994</v>
      </c>
      <c r="L337" s="16">
        <f>IF(D337="Packaging","",IF(ISNUMBER(J337),J337,IF(ISNUMBER(I337),EDATE(I337,VLOOKUP(D337,Assumptions!$A$10:$B$16,2,0)),"")))</f>
        <v>46393</v>
      </c>
      <c r="M337" s="14">
        <f>IF(ISNUMBER(L337),L337-Assumptions!$B$5,"")</f>
        <v>371</v>
      </c>
      <c r="N337" s="17">
        <f t="shared" si="30"/>
        <v>0</v>
      </c>
      <c r="O337" s="14">
        <f>IF(COUNTIF(Assumptions!$A$25:$A$27,A337)&gt;0,1,0)</f>
        <v>0</v>
      </c>
      <c r="P337" s="14">
        <f>IF(COUNTIF(Assumptions!$B$25:$B$26,A337)&gt;0,1,0)</f>
        <v>0</v>
      </c>
      <c r="Q337" s="14">
        <f>IF(COUNTIF(Assumptions!$C$25:$C$25,A337)&gt;0,1,0)</f>
        <v>0</v>
      </c>
      <c r="R337" s="17">
        <f t="shared" si="31"/>
        <v>0</v>
      </c>
      <c r="S337" s="15" t="str">
        <f>IFERROR(VLOOKUP(A337,Assumptions!$A$31:$B$33,2,0),"")</f>
        <v/>
      </c>
      <c r="T337" s="15">
        <f t="shared" si="32"/>
        <v>361.32</v>
      </c>
      <c r="U337" s="15">
        <f t="shared" si="33"/>
        <v>33602.76</v>
      </c>
      <c r="V337" s="15">
        <f t="shared" si="34"/>
        <v>33602.76</v>
      </c>
      <c r="W337" s="15">
        <f t="shared" si="35"/>
        <v>0</v>
      </c>
    </row>
    <row r="338" spans="1:23" ht="15" customHeight="1" x14ac:dyDescent="0.2">
      <c r="A338" s="14" t="s">
        <v>2536</v>
      </c>
      <c r="B338" s="14" t="s">
        <v>2537</v>
      </c>
      <c r="C338" s="14" t="s">
        <v>2089</v>
      </c>
      <c r="D338" s="14" t="s">
        <v>46</v>
      </c>
      <c r="E338" s="14" t="s">
        <v>1988</v>
      </c>
      <c r="F338" s="14">
        <v>139</v>
      </c>
      <c r="G338" s="15">
        <v>395.12</v>
      </c>
      <c r="H338" s="16">
        <v>45981</v>
      </c>
      <c r="I338" s="16">
        <v>46508</v>
      </c>
      <c r="J338" s="16"/>
      <c r="K338" s="14" t="s">
        <v>1989</v>
      </c>
      <c r="L338" s="16">
        <f>IF(D338="Packaging","",IF(ISNUMBER(J338),J338,IF(ISNUMBER(I338),EDATE(I338,VLOOKUP(D338,Assumptions!$A$10:$B$16,2,0)),"")))</f>
        <v>46784</v>
      </c>
      <c r="M338" s="14">
        <f>IF(ISNUMBER(L338),L338-Assumptions!$B$5,"")</f>
        <v>762</v>
      </c>
      <c r="N338" s="17">
        <f t="shared" si="30"/>
        <v>0</v>
      </c>
      <c r="O338" s="14">
        <f>IF(COUNTIF(Assumptions!$A$25:$A$27,A338)&gt;0,1,0)</f>
        <v>0</v>
      </c>
      <c r="P338" s="14">
        <f>IF(COUNTIF(Assumptions!$B$25:$B$26,A338)&gt;0,1,0)</f>
        <v>0</v>
      </c>
      <c r="Q338" s="14">
        <f>IF(COUNTIF(Assumptions!$C$25:$C$25,A338)&gt;0,1,0)</f>
        <v>0</v>
      </c>
      <c r="R338" s="17">
        <f t="shared" si="31"/>
        <v>0</v>
      </c>
      <c r="S338" s="15" t="str">
        <f>IFERROR(VLOOKUP(A338,Assumptions!$A$31:$B$33,2,0),"")</f>
        <v/>
      </c>
      <c r="T338" s="15">
        <f t="shared" si="32"/>
        <v>395.12</v>
      </c>
      <c r="U338" s="15">
        <f t="shared" si="33"/>
        <v>54921.68</v>
      </c>
      <c r="V338" s="15">
        <f t="shared" si="34"/>
        <v>54921.68</v>
      </c>
      <c r="W338" s="15">
        <f t="shared" si="35"/>
        <v>0</v>
      </c>
    </row>
    <row r="339" spans="1:23" ht="15" customHeight="1" x14ac:dyDescent="0.2">
      <c r="A339" s="14" t="s">
        <v>2538</v>
      </c>
      <c r="B339" s="14" t="s">
        <v>2539</v>
      </c>
      <c r="C339" s="14" t="s">
        <v>2027</v>
      </c>
      <c r="D339" s="14" t="s">
        <v>44</v>
      </c>
      <c r="E339" s="14" t="s">
        <v>1988</v>
      </c>
      <c r="F339" s="14">
        <v>499</v>
      </c>
      <c r="G339" s="15">
        <v>301.35000000000002</v>
      </c>
      <c r="H339" s="16">
        <v>46001</v>
      </c>
      <c r="I339" s="16">
        <v>46197</v>
      </c>
      <c r="J339" s="16"/>
      <c r="K339" s="14" t="s">
        <v>2030</v>
      </c>
      <c r="L339" s="16">
        <f>IF(D339="Packaging","",IF(ISNUMBER(J339),J339,IF(ISNUMBER(I339),EDATE(I339,VLOOKUP(D339,Assumptions!$A$10:$B$16,2,0)),"")))</f>
        <v>46745</v>
      </c>
      <c r="M339" s="14">
        <f>IF(ISNUMBER(L339),L339-Assumptions!$B$5,"")</f>
        <v>723</v>
      </c>
      <c r="N339" s="17">
        <f t="shared" si="30"/>
        <v>0</v>
      </c>
      <c r="O339" s="14">
        <f>IF(COUNTIF(Assumptions!$A$25:$A$27,A339)&gt;0,1,0)</f>
        <v>0</v>
      </c>
      <c r="P339" s="14">
        <f>IF(COUNTIF(Assumptions!$B$25:$B$26,A339)&gt;0,1,0)</f>
        <v>0</v>
      </c>
      <c r="Q339" s="14">
        <f>IF(COUNTIF(Assumptions!$C$25:$C$25,A339)&gt;0,1,0)</f>
        <v>0</v>
      </c>
      <c r="R339" s="17">
        <f t="shared" si="31"/>
        <v>0</v>
      </c>
      <c r="S339" s="15" t="str">
        <f>IFERROR(VLOOKUP(A339,Assumptions!$A$31:$B$33,2,0),"")</f>
        <v/>
      </c>
      <c r="T339" s="15">
        <f t="shared" si="32"/>
        <v>301.35000000000002</v>
      </c>
      <c r="U339" s="15">
        <f t="shared" si="33"/>
        <v>150373.65000000002</v>
      </c>
      <c r="V339" s="15">
        <f t="shared" si="34"/>
        <v>150373.65000000002</v>
      </c>
      <c r="W339" s="15">
        <f t="shared" si="35"/>
        <v>0</v>
      </c>
    </row>
    <row r="340" spans="1:23" ht="15" customHeight="1" x14ac:dyDescent="0.2">
      <c r="A340" s="14" t="s">
        <v>2540</v>
      </c>
      <c r="B340" s="14" t="s">
        <v>2541</v>
      </c>
      <c r="C340" s="14" t="s">
        <v>1435</v>
      </c>
      <c r="D340" s="14" t="s">
        <v>36</v>
      </c>
      <c r="E340" s="14" t="s">
        <v>1988</v>
      </c>
      <c r="F340" s="14">
        <v>2659</v>
      </c>
      <c r="G340" s="15">
        <v>92.92</v>
      </c>
      <c r="H340" s="16">
        <v>45975</v>
      </c>
      <c r="I340" s="16">
        <v>46131</v>
      </c>
      <c r="J340" s="16">
        <v>46862</v>
      </c>
      <c r="K340" s="14" t="s">
        <v>2021</v>
      </c>
      <c r="L340" s="16">
        <f>IF(D340="Packaging","",IF(ISNUMBER(J340),J340,IF(ISNUMBER(I340),EDATE(I340,VLOOKUP(D340,Assumptions!$A$10:$B$16,2,0)),"")))</f>
        <v>46862</v>
      </c>
      <c r="M340" s="14">
        <f>IF(ISNUMBER(L340),L340-Assumptions!$B$5,"")</f>
        <v>840</v>
      </c>
      <c r="N340" s="17">
        <f t="shared" si="30"/>
        <v>0</v>
      </c>
      <c r="O340" s="14">
        <f>IF(COUNTIF(Assumptions!$A$25:$A$27,A340)&gt;0,1,0)</f>
        <v>0</v>
      </c>
      <c r="P340" s="14">
        <f>IF(COUNTIF(Assumptions!$B$25:$B$26,A340)&gt;0,1,0)</f>
        <v>0</v>
      </c>
      <c r="Q340" s="14">
        <f>IF(COUNTIF(Assumptions!$C$25:$C$25,A340)&gt;0,1,0)</f>
        <v>0</v>
      </c>
      <c r="R340" s="17">
        <f t="shared" si="31"/>
        <v>0</v>
      </c>
      <c r="S340" s="15" t="str">
        <f>IFERROR(VLOOKUP(A340,Assumptions!$A$31:$B$33,2,0),"")</f>
        <v/>
      </c>
      <c r="T340" s="15">
        <f t="shared" si="32"/>
        <v>92.92</v>
      </c>
      <c r="U340" s="15">
        <f t="shared" si="33"/>
        <v>247074.28</v>
      </c>
      <c r="V340" s="15">
        <f t="shared" si="34"/>
        <v>247074.28</v>
      </c>
      <c r="W340" s="15">
        <f t="shared" si="35"/>
        <v>0</v>
      </c>
    </row>
    <row r="341" spans="1:23" ht="15" customHeight="1" x14ac:dyDescent="0.2">
      <c r="A341" s="14" t="s">
        <v>2542</v>
      </c>
      <c r="B341" s="14" t="s">
        <v>2543</v>
      </c>
      <c r="C341" s="14" t="s">
        <v>2094</v>
      </c>
      <c r="D341" s="14" t="s">
        <v>47</v>
      </c>
      <c r="E341" s="14" t="s">
        <v>1993</v>
      </c>
      <c r="F341" s="14">
        <v>3237</v>
      </c>
      <c r="G341" s="15">
        <v>293.52</v>
      </c>
      <c r="H341" s="16">
        <v>45722</v>
      </c>
      <c r="I341" s="16">
        <v>45648</v>
      </c>
      <c r="J341" s="16"/>
      <c r="K341" s="14" t="s">
        <v>1994</v>
      </c>
      <c r="L341" s="16" t="str">
        <f>IF(D341="Packaging","",IF(ISNUMBER(J341),J341,IF(ISNUMBER(I341),EDATE(I341,VLOOKUP(D341,Assumptions!$A$10:$B$16,2,0)),"")))</f>
        <v/>
      </c>
      <c r="M341" s="14" t="str">
        <f>IF(ISNUMBER(L341),L341-Assumptions!$B$5,"")</f>
        <v/>
      </c>
      <c r="N341" s="17">
        <f t="shared" si="30"/>
        <v>0</v>
      </c>
      <c r="O341" s="14">
        <f>IF(COUNTIF(Assumptions!$A$25:$A$27,A341)&gt;0,1,0)</f>
        <v>0</v>
      </c>
      <c r="P341" s="14">
        <f>IF(COUNTIF(Assumptions!$B$25:$B$26,A341)&gt;0,1,0)</f>
        <v>0</v>
      </c>
      <c r="Q341" s="14">
        <f>IF(COUNTIF(Assumptions!$C$25:$C$25,A341)&gt;0,1,0)</f>
        <v>0</v>
      </c>
      <c r="R341" s="17">
        <f t="shared" si="31"/>
        <v>0</v>
      </c>
      <c r="S341" s="15" t="str">
        <f>IFERROR(VLOOKUP(A341,Assumptions!$A$31:$B$33,2,0),"")</f>
        <v/>
      </c>
      <c r="T341" s="15">
        <f t="shared" si="32"/>
        <v>293.52</v>
      </c>
      <c r="U341" s="15">
        <f t="shared" si="33"/>
        <v>950124.24</v>
      </c>
      <c r="V341" s="15">
        <f t="shared" si="34"/>
        <v>950124.24</v>
      </c>
      <c r="W341" s="15">
        <f t="shared" si="35"/>
        <v>0</v>
      </c>
    </row>
    <row r="342" spans="1:23" ht="15" customHeight="1" x14ac:dyDescent="0.2">
      <c r="A342" s="14" t="s">
        <v>2544</v>
      </c>
      <c r="B342" s="14" t="s">
        <v>2545</v>
      </c>
      <c r="C342" s="14" t="s">
        <v>2007</v>
      </c>
      <c r="D342" s="14" t="s">
        <v>47</v>
      </c>
      <c r="E342" s="14" t="s">
        <v>2037</v>
      </c>
      <c r="F342" s="14">
        <v>4880</v>
      </c>
      <c r="G342" s="15">
        <v>62.75</v>
      </c>
      <c r="H342" s="16">
        <v>45812</v>
      </c>
      <c r="I342" s="16">
        <v>45778</v>
      </c>
      <c r="J342" s="16"/>
      <c r="K342" s="14" t="s">
        <v>1994</v>
      </c>
      <c r="L342" s="16" t="str">
        <f>IF(D342="Packaging","",IF(ISNUMBER(J342),J342,IF(ISNUMBER(I342),EDATE(I342,VLOOKUP(D342,Assumptions!$A$10:$B$16,2,0)),"")))</f>
        <v/>
      </c>
      <c r="M342" s="14" t="str">
        <f>IF(ISNUMBER(L342),L342-Assumptions!$B$5,"")</f>
        <v/>
      </c>
      <c r="N342" s="17">
        <f t="shared" si="30"/>
        <v>0</v>
      </c>
      <c r="O342" s="14">
        <f>IF(COUNTIF(Assumptions!$A$25:$A$27,A342)&gt;0,1,0)</f>
        <v>0</v>
      </c>
      <c r="P342" s="14">
        <f>IF(COUNTIF(Assumptions!$B$25:$B$26,A342)&gt;0,1,0)</f>
        <v>0</v>
      </c>
      <c r="Q342" s="14">
        <f>IF(COUNTIF(Assumptions!$C$25:$C$25,A342)&gt;0,1,0)</f>
        <v>0</v>
      </c>
      <c r="R342" s="17">
        <f t="shared" si="31"/>
        <v>0</v>
      </c>
      <c r="S342" s="15" t="str">
        <f>IFERROR(VLOOKUP(A342,Assumptions!$A$31:$B$33,2,0),"")</f>
        <v/>
      </c>
      <c r="T342" s="15">
        <f t="shared" si="32"/>
        <v>62.75</v>
      </c>
      <c r="U342" s="15">
        <f t="shared" si="33"/>
        <v>306220</v>
      </c>
      <c r="V342" s="15">
        <f t="shared" si="34"/>
        <v>306220</v>
      </c>
      <c r="W342" s="15">
        <f t="shared" si="35"/>
        <v>0</v>
      </c>
    </row>
    <row r="343" spans="1:23" ht="15" customHeight="1" x14ac:dyDescent="0.2">
      <c r="A343" s="14" t="s">
        <v>2546</v>
      </c>
      <c r="B343" s="14" t="s">
        <v>2547</v>
      </c>
      <c r="C343" s="14" t="s">
        <v>2159</v>
      </c>
      <c r="D343" s="14" t="s">
        <v>46</v>
      </c>
      <c r="E343" s="14" t="s">
        <v>1993</v>
      </c>
      <c r="F343" s="14">
        <v>476</v>
      </c>
      <c r="G343" s="15">
        <v>410.84</v>
      </c>
      <c r="H343" s="16">
        <v>46017</v>
      </c>
      <c r="I343" s="16">
        <v>46351</v>
      </c>
      <c r="J343" s="16"/>
      <c r="K343" s="14" t="s">
        <v>2004</v>
      </c>
      <c r="L343" s="16">
        <f>IF(D343="Packaging","",IF(ISNUMBER(J343),J343,IF(ISNUMBER(I343),EDATE(I343,VLOOKUP(D343,Assumptions!$A$10:$B$16,2,0)),"")))</f>
        <v>46624</v>
      </c>
      <c r="M343" s="14">
        <f>IF(ISNUMBER(L343),L343-Assumptions!$B$5,"")</f>
        <v>602</v>
      </c>
      <c r="N343" s="17">
        <f t="shared" si="30"/>
        <v>0</v>
      </c>
      <c r="O343" s="14">
        <f>IF(COUNTIF(Assumptions!$A$25:$A$27,A343)&gt;0,1,0)</f>
        <v>0</v>
      </c>
      <c r="P343" s="14">
        <f>IF(COUNTIF(Assumptions!$B$25:$B$26,A343)&gt;0,1,0)</f>
        <v>0</v>
      </c>
      <c r="Q343" s="14">
        <f>IF(COUNTIF(Assumptions!$C$25:$C$25,A343)&gt;0,1,0)</f>
        <v>0</v>
      </c>
      <c r="R343" s="17">
        <f t="shared" si="31"/>
        <v>0</v>
      </c>
      <c r="S343" s="15" t="str">
        <f>IFERROR(VLOOKUP(A343,Assumptions!$A$31:$B$33,2,0),"")</f>
        <v/>
      </c>
      <c r="T343" s="15">
        <f t="shared" si="32"/>
        <v>410.84</v>
      </c>
      <c r="U343" s="15">
        <f t="shared" si="33"/>
        <v>195559.84</v>
      </c>
      <c r="V343" s="15">
        <f t="shared" si="34"/>
        <v>195559.84</v>
      </c>
      <c r="W343" s="15">
        <f t="shared" si="35"/>
        <v>0</v>
      </c>
    </row>
    <row r="344" spans="1:23" ht="15" customHeight="1" x14ac:dyDescent="0.2">
      <c r="A344" s="14" t="s">
        <v>948</v>
      </c>
      <c r="B344" s="14" t="s">
        <v>947</v>
      </c>
      <c r="C344" s="14" t="s">
        <v>2119</v>
      </c>
      <c r="D344" s="14" t="s">
        <v>39</v>
      </c>
      <c r="E344" s="14" t="s">
        <v>1988</v>
      </c>
      <c r="F344" s="14">
        <v>4576</v>
      </c>
      <c r="G344" s="15">
        <v>239.37</v>
      </c>
      <c r="H344" s="16">
        <v>45804</v>
      </c>
      <c r="I344" s="16">
        <v>45766</v>
      </c>
      <c r="J344" s="16"/>
      <c r="K344" s="14" t="s">
        <v>2030</v>
      </c>
      <c r="L344" s="16">
        <f>IF(D344="Packaging","",IF(ISNUMBER(J344),J344,IF(ISNUMBER(I344),EDATE(I344,VLOOKUP(D344,Assumptions!$A$10:$B$16,2,0)),"")))</f>
        <v>46862</v>
      </c>
      <c r="M344" s="14">
        <f>IF(ISNUMBER(L344),L344-Assumptions!$B$5,"")</f>
        <v>840</v>
      </c>
      <c r="N344" s="17">
        <f t="shared" si="30"/>
        <v>0</v>
      </c>
      <c r="O344" s="14">
        <f>IF(COUNTIF(Assumptions!$A$25:$A$27,A344)&gt;0,1,0)</f>
        <v>0</v>
      </c>
      <c r="P344" s="14">
        <f>IF(COUNTIF(Assumptions!$B$25:$B$26,A344)&gt;0,1,0)</f>
        <v>0</v>
      </c>
      <c r="Q344" s="14">
        <f>IF(COUNTIF(Assumptions!$C$25:$C$25,A344)&gt;0,1,0)</f>
        <v>0</v>
      </c>
      <c r="R344" s="17">
        <f t="shared" si="31"/>
        <v>0</v>
      </c>
      <c r="S344" s="15" t="str">
        <f>IFERROR(VLOOKUP(A344,Assumptions!$A$31:$B$33,2,0),"")</f>
        <v/>
      </c>
      <c r="T344" s="15">
        <f t="shared" si="32"/>
        <v>239.37</v>
      </c>
      <c r="U344" s="15">
        <f t="shared" si="33"/>
        <v>1095357.1200000001</v>
      </c>
      <c r="V344" s="15">
        <f t="shared" si="34"/>
        <v>1095357.1200000001</v>
      </c>
      <c r="W344" s="15">
        <f t="shared" si="35"/>
        <v>0</v>
      </c>
    </row>
    <row r="345" spans="1:23" ht="15" customHeight="1" x14ac:dyDescent="0.2">
      <c r="A345" s="14" t="s">
        <v>2548</v>
      </c>
      <c r="B345" s="14" t="s">
        <v>2549</v>
      </c>
      <c r="C345" s="14" t="s">
        <v>2000</v>
      </c>
      <c r="D345" s="14" t="s">
        <v>45</v>
      </c>
      <c r="E345" s="14" t="s">
        <v>2014</v>
      </c>
      <c r="F345" s="14">
        <v>948</v>
      </c>
      <c r="G345" s="15">
        <v>136.43</v>
      </c>
      <c r="H345" s="16">
        <v>45978</v>
      </c>
      <c r="I345" s="16">
        <v>46307</v>
      </c>
      <c r="J345" s="16">
        <v>46489</v>
      </c>
      <c r="K345" s="14" t="s">
        <v>2052</v>
      </c>
      <c r="L345" s="16">
        <f>IF(D345="Packaging","",IF(ISNUMBER(J345),J345,IF(ISNUMBER(I345),EDATE(I345,VLOOKUP(D345,Assumptions!$A$10:$B$16,2,0)),"")))</f>
        <v>46489</v>
      </c>
      <c r="M345" s="14">
        <f>IF(ISNUMBER(L345),L345-Assumptions!$B$5,"")</f>
        <v>467</v>
      </c>
      <c r="N345" s="17">
        <f t="shared" si="30"/>
        <v>0</v>
      </c>
      <c r="O345" s="14">
        <f>IF(COUNTIF(Assumptions!$A$25:$A$27,A345)&gt;0,1,0)</f>
        <v>0</v>
      </c>
      <c r="P345" s="14">
        <f>IF(COUNTIF(Assumptions!$B$25:$B$26,A345)&gt;0,1,0)</f>
        <v>0</v>
      </c>
      <c r="Q345" s="14">
        <f>IF(COUNTIF(Assumptions!$C$25:$C$25,A345)&gt;0,1,0)</f>
        <v>0</v>
      </c>
      <c r="R345" s="17">
        <f t="shared" si="31"/>
        <v>0</v>
      </c>
      <c r="S345" s="15" t="str">
        <f>IFERROR(VLOOKUP(A345,Assumptions!$A$31:$B$33,2,0),"")</f>
        <v/>
      </c>
      <c r="T345" s="15">
        <f t="shared" si="32"/>
        <v>136.43</v>
      </c>
      <c r="U345" s="15">
        <f t="shared" si="33"/>
        <v>129335.64</v>
      </c>
      <c r="V345" s="15">
        <f t="shared" si="34"/>
        <v>129335.64</v>
      </c>
      <c r="W345" s="15">
        <f t="shared" si="35"/>
        <v>0</v>
      </c>
    </row>
    <row r="346" spans="1:23" ht="15" customHeight="1" x14ac:dyDescent="0.2">
      <c r="A346" s="14" t="s">
        <v>2550</v>
      </c>
      <c r="B346" s="14" t="s">
        <v>2321</v>
      </c>
      <c r="C346" s="14" t="s">
        <v>2033</v>
      </c>
      <c r="D346" s="14" t="s">
        <v>47</v>
      </c>
      <c r="E346" s="14" t="s">
        <v>1993</v>
      </c>
      <c r="F346" s="14">
        <v>1070</v>
      </c>
      <c r="G346" s="15">
        <v>119.66</v>
      </c>
      <c r="H346" s="16">
        <v>45643</v>
      </c>
      <c r="I346" s="16">
        <v>45618</v>
      </c>
      <c r="J346" s="16"/>
      <c r="K346" s="14" t="s">
        <v>2015</v>
      </c>
      <c r="L346" s="16" t="str">
        <f>IF(D346="Packaging","",IF(ISNUMBER(J346),J346,IF(ISNUMBER(I346),EDATE(I346,VLOOKUP(D346,Assumptions!$A$10:$B$16,2,0)),"")))</f>
        <v/>
      </c>
      <c r="M346" s="14" t="str">
        <f>IF(ISNUMBER(L346),L346-Assumptions!$B$5,"")</f>
        <v/>
      </c>
      <c r="N346" s="17">
        <f t="shared" si="30"/>
        <v>0</v>
      </c>
      <c r="O346" s="14">
        <f>IF(COUNTIF(Assumptions!$A$25:$A$27,A346)&gt;0,1,0)</f>
        <v>0</v>
      </c>
      <c r="P346" s="14">
        <f>IF(COUNTIF(Assumptions!$B$25:$B$26,A346)&gt;0,1,0)</f>
        <v>0</v>
      </c>
      <c r="Q346" s="14">
        <f>IF(COUNTIF(Assumptions!$C$25:$C$25,A346)&gt;0,1,0)</f>
        <v>0</v>
      </c>
      <c r="R346" s="17">
        <f t="shared" si="31"/>
        <v>0</v>
      </c>
      <c r="S346" s="15" t="str">
        <f>IFERROR(VLOOKUP(A346,Assumptions!$A$31:$B$33,2,0),"")</f>
        <v/>
      </c>
      <c r="T346" s="15">
        <f t="shared" si="32"/>
        <v>119.66</v>
      </c>
      <c r="U346" s="15">
        <f t="shared" si="33"/>
        <v>128036.2</v>
      </c>
      <c r="V346" s="15">
        <f t="shared" si="34"/>
        <v>128036.2</v>
      </c>
      <c r="W346" s="15">
        <f t="shared" si="35"/>
        <v>0</v>
      </c>
    </row>
    <row r="347" spans="1:23" ht="15" customHeight="1" x14ac:dyDescent="0.2">
      <c r="A347" s="14" t="s">
        <v>2551</v>
      </c>
      <c r="B347" s="14" t="s">
        <v>2552</v>
      </c>
      <c r="C347" s="14" t="s">
        <v>2069</v>
      </c>
      <c r="D347" s="14" t="s">
        <v>47</v>
      </c>
      <c r="E347" s="14" t="s">
        <v>1993</v>
      </c>
      <c r="F347" s="14">
        <v>4631</v>
      </c>
      <c r="G347" s="15">
        <v>364.88</v>
      </c>
      <c r="H347" s="16">
        <v>45652</v>
      </c>
      <c r="I347" s="16">
        <v>45620</v>
      </c>
      <c r="J347" s="16"/>
      <c r="K347" s="14" t="s">
        <v>2030</v>
      </c>
      <c r="L347" s="16" t="str">
        <f>IF(D347="Packaging","",IF(ISNUMBER(J347),J347,IF(ISNUMBER(I347),EDATE(I347,VLOOKUP(D347,Assumptions!$A$10:$B$16,2,0)),"")))</f>
        <v/>
      </c>
      <c r="M347" s="14" t="str">
        <f>IF(ISNUMBER(L347),L347-Assumptions!$B$5,"")</f>
        <v/>
      </c>
      <c r="N347" s="17">
        <f t="shared" si="30"/>
        <v>0</v>
      </c>
      <c r="O347" s="14">
        <f>IF(COUNTIF(Assumptions!$A$25:$A$27,A347)&gt;0,1,0)</f>
        <v>0</v>
      </c>
      <c r="P347" s="14">
        <f>IF(COUNTIF(Assumptions!$B$25:$B$26,A347)&gt;0,1,0)</f>
        <v>0</v>
      </c>
      <c r="Q347" s="14">
        <f>IF(COUNTIF(Assumptions!$C$25:$C$25,A347)&gt;0,1,0)</f>
        <v>0</v>
      </c>
      <c r="R347" s="17">
        <f t="shared" si="31"/>
        <v>0</v>
      </c>
      <c r="S347" s="15" t="str">
        <f>IFERROR(VLOOKUP(A347,Assumptions!$A$31:$B$33,2,0),"")</f>
        <v/>
      </c>
      <c r="T347" s="15">
        <f t="shared" si="32"/>
        <v>364.88</v>
      </c>
      <c r="U347" s="15">
        <f t="shared" si="33"/>
        <v>1689759.28</v>
      </c>
      <c r="V347" s="15">
        <f t="shared" si="34"/>
        <v>1689759.28</v>
      </c>
      <c r="W347" s="15">
        <f t="shared" si="35"/>
        <v>0</v>
      </c>
    </row>
    <row r="348" spans="1:23" ht="15" customHeight="1" x14ac:dyDescent="0.2">
      <c r="A348" s="14" t="s">
        <v>2553</v>
      </c>
      <c r="B348" s="14" t="s">
        <v>2554</v>
      </c>
      <c r="C348" s="14" t="s">
        <v>2018</v>
      </c>
      <c r="D348" s="14" t="s">
        <v>36</v>
      </c>
      <c r="E348" s="14" t="s">
        <v>2014</v>
      </c>
      <c r="F348" s="14">
        <v>3925</v>
      </c>
      <c r="G348" s="15">
        <v>354.63</v>
      </c>
      <c r="H348" s="16">
        <v>45962</v>
      </c>
      <c r="I348" s="16">
        <v>46050</v>
      </c>
      <c r="J348" s="16">
        <v>46780</v>
      </c>
      <c r="K348" s="14" t="s">
        <v>1994</v>
      </c>
      <c r="L348" s="16">
        <f>IF(D348="Packaging","",IF(ISNUMBER(J348),J348,IF(ISNUMBER(I348),EDATE(I348,VLOOKUP(D348,Assumptions!$A$10:$B$16,2,0)),"")))</f>
        <v>46780</v>
      </c>
      <c r="M348" s="14">
        <f>IF(ISNUMBER(L348),L348-Assumptions!$B$5,"")</f>
        <v>758</v>
      </c>
      <c r="N348" s="17">
        <f t="shared" si="30"/>
        <v>0</v>
      </c>
      <c r="O348" s="14">
        <f>IF(COUNTIF(Assumptions!$A$25:$A$27,A348)&gt;0,1,0)</f>
        <v>0</v>
      </c>
      <c r="P348" s="14">
        <f>IF(COUNTIF(Assumptions!$B$25:$B$26,A348)&gt;0,1,0)</f>
        <v>0</v>
      </c>
      <c r="Q348" s="14">
        <f>IF(COUNTIF(Assumptions!$C$25:$C$25,A348)&gt;0,1,0)</f>
        <v>0</v>
      </c>
      <c r="R348" s="17">
        <f t="shared" si="31"/>
        <v>0</v>
      </c>
      <c r="S348" s="15" t="str">
        <f>IFERROR(VLOOKUP(A348,Assumptions!$A$31:$B$33,2,0),"")</f>
        <v/>
      </c>
      <c r="T348" s="15">
        <f t="shared" si="32"/>
        <v>354.63</v>
      </c>
      <c r="U348" s="15">
        <f t="shared" si="33"/>
        <v>1391922.75</v>
      </c>
      <c r="V348" s="15">
        <f t="shared" si="34"/>
        <v>1391922.75</v>
      </c>
      <c r="W348" s="15">
        <f t="shared" si="35"/>
        <v>0</v>
      </c>
    </row>
    <row r="349" spans="1:23" ht="15" customHeight="1" x14ac:dyDescent="0.2">
      <c r="A349" s="14" t="s">
        <v>951</v>
      </c>
      <c r="B349" s="14" t="s">
        <v>950</v>
      </c>
      <c r="C349" s="14" t="s">
        <v>2022</v>
      </c>
      <c r="D349" s="14" t="s">
        <v>39</v>
      </c>
      <c r="E349" s="14" t="s">
        <v>1993</v>
      </c>
      <c r="F349" s="14">
        <v>2249</v>
      </c>
      <c r="G349" s="15">
        <v>414.72</v>
      </c>
      <c r="H349" s="16">
        <v>45649</v>
      </c>
      <c r="I349" s="16">
        <v>45644</v>
      </c>
      <c r="J349" s="16">
        <v>46739</v>
      </c>
      <c r="K349" s="14" t="s">
        <v>2030</v>
      </c>
      <c r="L349" s="16">
        <f>IF(D349="Packaging","",IF(ISNUMBER(J349),J349,IF(ISNUMBER(I349),EDATE(I349,VLOOKUP(D349,Assumptions!$A$10:$B$16,2,0)),"")))</f>
        <v>46739</v>
      </c>
      <c r="M349" s="14">
        <f>IF(ISNUMBER(L349),L349-Assumptions!$B$5,"")</f>
        <v>717</v>
      </c>
      <c r="N349" s="17">
        <f t="shared" si="30"/>
        <v>0</v>
      </c>
      <c r="O349" s="14">
        <f>IF(COUNTIF(Assumptions!$A$25:$A$27,A349)&gt;0,1,0)</f>
        <v>0</v>
      </c>
      <c r="P349" s="14">
        <f>IF(COUNTIF(Assumptions!$B$25:$B$26,A349)&gt;0,1,0)</f>
        <v>0</v>
      </c>
      <c r="Q349" s="14">
        <f>IF(COUNTIF(Assumptions!$C$25:$C$25,A349)&gt;0,1,0)</f>
        <v>0</v>
      </c>
      <c r="R349" s="17">
        <f t="shared" si="31"/>
        <v>0</v>
      </c>
      <c r="S349" s="15" t="str">
        <f>IFERROR(VLOOKUP(A349,Assumptions!$A$31:$B$33,2,0),"")</f>
        <v/>
      </c>
      <c r="T349" s="15">
        <f t="shared" si="32"/>
        <v>414.72</v>
      </c>
      <c r="U349" s="15">
        <f t="shared" si="33"/>
        <v>932705.28000000003</v>
      </c>
      <c r="V349" s="15">
        <f t="shared" si="34"/>
        <v>932705.28000000003</v>
      </c>
      <c r="W349" s="15">
        <f t="shared" si="35"/>
        <v>0</v>
      </c>
    </row>
    <row r="350" spans="1:23" ht="15" customHeight="1" x14ac:dyDescent="0.2">
      <c r="A350" s="14" t="s">
        <v>2555</v>
      </c>
      <c r="B350" s="14" t="s">
        <v>2556</v>
      </c>
      <c r="C350" s="14" t="s">
        <v>2101</v>
      </c>
      <c r="D350" s="14" t="s">
        <v>46</v>
      </c>
      <c r="E350" s="14" t="s">
        <v>2037</v>
      </c>
      <c r="F350" s="14">
        <v>2455</v>
      </c>
      <c r="G350" s="15">
        <v>99.08</v>
      </c>
      <c r="H350" s="16">
        <v>45998</v>
      </c>
      <c r="I350" s="16">
        <v>46111</v>
      </c>
      <c r="J350" s="16"/>
      <c r="K350" s="14" t="s">
        <v>2030</v>
      </c>
      <c r="L350" s="16">
        <f>IF(D350="Packaging","",IF(ISNUMBER(J350),J350,IF(ISNUMBER(I350),EDATE(I350,VLOOKUP(D350,Assumptions!$A$10:$B$16,2,0)),"")))</f>
        <v>46386</v>
      </c>
      <c r="M350" s="14">
        <f>IF(ISNUMBER(L350),L350-Assumptions!$B$5,"")</f>
        <v>364</v>
      </c>
      <c r="N350" s="17">
        <f t="shared" si="30"/>
        <v>0</v>
      </c>
      <c r="O350" s="14">
        <f>IF(COUNTIF(Assumptions!$A$25:$A$27,A350)&gt;0,1,0)</f>
        <v>0</v>
      </c>
      <c r="P350" s="14">
        <f>IF(COUNTIF(Assumptions!$B$25:$B$26,A350)&gt;0,1,0)</f>
        <v>0</v>
      </c>
      <c r="Q350" s="14">
        <f>IF(COUNTIF(Assumptions!$C$25:$C$25,A350)&gt;0,1,0)</f>
        <v>0</v>
      </c>
      <c r="R350" s="17">
        <f t="shared" si="31"/>
        <v>0</v>
      </c>
      <c r="S350" s="15" t="str">
        <f>IFERROR(VLOOKUP(A350,Assumptions!$A$31:$B$33,2,0),"")</f>
        <v/>
      </c>
      <c r="T350" s="15">
        <f t="shared" si="32"/>
        <v>99.08</v>
      </c>
      <c r="U350" s="15">
        <f t="shared" si="33"/>
        <v>243241.4</v>
      </c>
      <c r="V350" s="15">
        <f t="shared" si="34"/>
        <v>243241.4</v>
      </c>
      <c r="W350" s="15">
        <f t="shared" si="35"/>
        <v>0</v>
      </c>
    </row>
    <row r="351" spans="1:23" ht="15" customHeight="1" x14ac:dyDescent="0.2">
      <c r="A351" s="14" t="s">
        <v>2557</v>
      </c>
      <c r="B351" s="14" t="s">
        <v>2558</v>
      </c>
      <c r="C351" s="14" t="s">
        <v>1992</v>
      </c>
      <c r="D351" s="14" t="s">
        <v>45</v>
      </c>
      <c r="E351" s="14" t="s">
        <v>1993</v>
      </c>
      <c r="F351" s="14">
        <v>199</v>
      </c>
      <c r="G351" s="15">
        <v>320.25</v>
      </c>
      <c r="H351" s="16">
        <v>45979</v>
      </c>
      <c r="I351" s="16">
        <v>46260</v>
      </c>
      <c r="J351" s="16">
        <v>46444</v>
      </c>
      <c r="K351" s="14" t="s">
        <v>2030</v>
      </c>
      <c r="L351" s="16">
        <f>IF(D351="Packaging","",IF(ISNUMBER(J351),J351,IF(ISNUMBER(I351),EDATE(I351,VLOOKUP(D351,Assumptions!$A$10:$B$16,2,0)),"")))</f>
        <v>46444</v>
      </c>
      <c r="M351" s="14">
        <f>IF(ISNUMBER(L351),L351-Assumptions!$B$5,"")</f>
        <v>422</v>
      </c>
      <c r="N351" s="17">
        <f t="shared" si="30"/>
        <v>0</v>
      </c>
      <c r="O351" s="14">
        <f>IF(COUNTIF(Assumptions!$A$25:$A$27,A351)&gt;0,1,0)</f>
        <v>0</v>
      </c>
      <c r="P351" s="14">
        <f>IF(COUNTIF(Assumptions!$B$25:$B$26,A351)&gt;0,1,0)</f>
        <v>0</v>
      </c>
      <c r="Q351" s="14">
        <f>IF(COUNTIF(Assumptions!$C$25:$C$25,A351)&gt;0,1,0)</f>
        <v>0</v>
      </c>
      <c r="R351" s="17">
        <f t="shared" si="31"/>
        <v>0</v>
      </c>
      <c r="S351" s="15" t="str">
        <f>IFERROR(VLOOKUP(A351,Assumptions!$A$31:$B$33,2,0),"")</f>
        <v/>
      </c>
      <c r="T351" s="15">
        <f t="shared" si="32"/>
        <v>320.25</v>
      </c>
      <c r="U351" s="15">
        <f t="shared" si="33"/>
        <v>63729.75</v>
      </c>
      <c r="V351" s="15">
        <f t="shared" si="34"/>
        <v>63729.75</v>
      </c>
      <c r="W351" s="15">
        <f t="shared" si="35"/>
        <v>0</v>
      </c>
    </row>
    <row r="352" spans="1:23" ht="15" customHeight="1" x14ac:dyDescent="0.2">
      <c r="A352" s="14" t="s">
        <v>2559</v>
      </c>
      <c r="B352" s="14" t="s">
        <v>2560</v>
      </c>
      <c r="C352" s="14" t="s">
        <v>2066</v>
      </c>
      <c r="D352" s="14" t="s">
        <v>42</v>
      </c>
      <c r="E352" s="14" t="s">
        <v>2014</v>
      </c>
      <c r="F352" s="14">
        <v>4112</v>
      </c>
      <c r="G352" s="15">
        <v>25.87</v>
      </c>
      <c r="H352" s="16">
        <v>45995</v>
      </c>
      <c r="I352" s="16">
        <v>46220</v>
      </c>
      <c r="J352" s="16">
        <v>46585</v>
      </c>
      <c r="K352" s="14" t="s">
        <v>2052</v>
      </c>
      <c r="L352" s="16">
        <f>IF(D352="Packaging","",IF(ISNUMBER(J352),J352,IF(ISNUMBER(I352),EDATE(I352,VLOOKUP(D352,Assumptions!$A$10:$B$16,2,0)),"")))</f>
        <v>46585</v>
      </c>
      <c r="M352" s="14">
        <f>IF(ISNUMBER(L352),L352-Assumptions!$B$5,"")</f>
        <v>563</v>
      </c>
      <c r="N352" s="17">
        <f t="shared" si="30"/>
        <v>0</v>
      </c>
      <c r="O352" s="14">
        <f>IF(COUNTIF(Assumptions!$A$25:$A$27,A352)&gt;0,1,0)</f>
        <v>0</v>
      </c>
      <c r="P352" s="14">
        <f>IF(COUNTIF(Assumptions!$B$25:$B$26,A352)&gt;0,1,0)</f>
        <v>0</v>
      </c>
      <c r="Q352" s="14">
        <f>IF(COUNTIF(Assumptions!$C$25:$C$25,A352)&gt;0,1,0)</f>
        <v>0</v>
      </c>
      <c r="R352" s="17">
        <f t="shared" si="31"/>
        <v>0</v>
      </c>
      <c r="S352" s="15" t="str">
        <f>IFERROR(VLOOKUP(A352,Assumptions!$A$31:$B$33,2,0),"")</f>
        <v/>
      </c>
      <c r="T352" s="15">
        <f t="shared" si="32"/>
        <v>25.87</v>
      </c>
      <c r="U352" s="15">
        <f t="shared" si="33"/>
        <v>106377.44</v>
      </c>
      <c r="V352" s="15">
        <f t="shared" si="34"/>
        <v>106377.44</v>
      </c>
      <c r="W352" s="15">
        <f t="shared" si="35"/>
        <v>0</v>
      </c>
    </row>
    <row r="353" spans="1:23" ht="15" customHeight="1" x14ac:dyDescent="0.2">
      <c r="A353" s="14" t="s">
        <v>2561</v>
      </c>
      <c r="B353" s="14" t="s">
        <v>2562</v>
      </c>
      <c r="C353" s="14" t="s">
        <v>2000</v>
      </c>
      <c r="D353" s="14" t="s">
        <v>45</v>
      </c>
      <c r="E353" s="14" t="s">
        <v>2014</v>
      </c>
      <c r="F353" s="14">
        <v>3802</v>
      </c>
      <c r="G353" s="15">
        <v>153.06</v>
      </c>
      <c r="H353" s="16">
        <v>45964</v>
      </c>
      <c r="I353" s="16">
        <v>46567</v>
      </c>
      <c r="J353" s="16"/>
      <c r="K353" s="14" t="s">
        <v>2004</v>
      </c>
      <c r="L353" s="16">
        <f>IF(D353="Packaging","",IF(ISNUMBER(J353),J353,IF(ISNUMBER(I353),EDATE(I353,VLOOKUP(D353,Assumptions!$A$10:$B$16,2,0)),"")))</f>
        <v>46750</v>
      </c>
      <c r="M353" s="14">
        <f>IF(ISNUMBER(L353),L353-Assumptions!$B$5,"")</f>
        <v>728</v>
      </c>
      <c r="N353" s="17">
        <f t="shared" si="30"/>
        <v>0</v>
      </c>
      <c r="O353" s="14">
        <f>IF(COUNTIF(Assumptions!$A$25:$A$27,A353)&gt;0,1,0)</f>
        <v>0</v>
      </c>
      <c r="P353" s="14">
        <f>IF(COUNTIF(Assumptions!$B$25:$B$26,A353)&gt;0,1,0)</f>
        <v>0</v>
      </c>
      <c r="Q353" s="14">
        <f>IF(COUNTIF(Assumptions!$C$25:$C$25,A353)&gt;0,1,0)</f>
        <v>0</v>
      </c>
      <c r="R353" s="17">
        <f t="shared" si="31"/>
        <v>0</v>
      </c>
      <c r="S353" s="15" t="str">
        <f>IFERROR(VLOOKUP(A353,Assumptions!$A$31:$B$33,2,0),"")</f>
        <v/>
      </c>
      <c r="T353" s="15">
        <f t="shared" si="32"/>
        <v>153.06</v>
      </c>
      <c r="U353" s="15">
        <f t="shared" si="33"/>
        <v>581934.12</v>
      </c>
      <c r="V353" s="15">
        <f t="shared" si="34"/>
        <v>581934.12</v>
      </c>
      <c r="W353" s="15">
        <f t="shared" si="35"/>
        <v>0</v>
      </c>
    </row>
    <row r="354" spans="1:23" ht="15" customHeight="1" x14ac:dyDescent="0.2">
      <c r="A354" s="14" t="s">
        <v>967</v>
      </c>
      <c r="B354" s="14" t="s">
        <v>966</v>
      </c>
      <c r="C354" s="14" t="s">
        <v>2108</v>
      </c>
      <c r="D354" s="14" t="s">
        <v>39</v>
      </c>
      <c r="E354" s="14" t="s">
        <v>2014</v>
      </c>
      <c r="F354" s="14">
        <v>4004</v>
      </c>
      <c r="G354" s="15">
        <v>201.01</v>
      </c>
      <c r="H354" s="16">
        <v>45451</v>
      </c>
      <c r="I354" s="16">
        <v>45393</v>
      </c>
      <c r="J354" s="16">
        <v>46488</v>
      </c>
      <c r="K354" s="14" t="s">
        <v>2015</v>
      </c>
      <c r="L354" s="16">
        <f>IF(D354="Packaging","",IF(ISNUMBER(J354),J354,IF(ISNUMBER(I354),EDATE(I354,VLOOKUP(D354,Assumptions!$A$10:$B$16,2,0)),"")))</f>
        <v>46488</v>
      </c>
      <c r="M354" s="14">
        <f>IF(ISNUMBER(L354),L354-Assumptions!$B$5,"")</f>
        <v>466</v>
      </c>
      <c r="N354" s="17">
        <f t="shared" si="30"/>
        <v>0</v>
      </c>
      <c r="O354" s="14">
        <f>IF(COUNTIF(Assumptions!$A$25:$A$27,A354)&gt;0,1,0)</f>
        <v>0</v>
      </c>
      <c r="P354" s="14">
        <f>IF(COUNTIF(Assumptions!$B$25:$B$26,A354)&gt;0,1,0)</f>
        <v>0</v>
      </c>
      <c r="Q354" s="14">
        <f>IF(COUNTIF(Assumptions!$C$25:$C$25,A354)&gt;0,1,0)</f>
        <v>0</v>
      </c>
      <c r="R354" s="17">
        <f t="shared" si="31"/>
        <v>0</v>
      </c>
      <c r="S354" s="15" t="str">
        <f>IFERROR(VLOOKUP(A354,Assumptions!$A$31:$B$33,2,0),"")</f>
        <v/>
      </c>
      <c r="T354" s="15">
        <f t="shared" si="32"/>
        <v>201.01</v>
      </c>
      <c r="U354" s="15">
        <f t="shared" si="33"/>
        <v>804844.03999999992</v>
      </c>
      <c r="V354" s="15">
        <f t="shared" si="34"/>
        <v>804844.03999999992</v>
      </c>
      <c r="W354" s="15">
        <f t="shared" si="35"/>
        <v>0</v>
      </c>
    </row>
    <row r="355" spans="1:23" ht="15" customHeight="1" x14ac:dyDescent="0.2">
      <c r="A355" s="14" t="s">
        <v>2563</v>
      </c>
      <c r="B355" s="14" t="s">
        <v>2564</v>
      </c>
      <c r="C355" s="14" t="s">
        <v>2076</v>
      </c>
      <c r="D355" s="14" t="s">
        <v>45</v>
      </c>
      <c r="E355" s="14" t="s">
        <v>2037</v>
      </c>
      <c r="F355" s="14">
        <v>2569</v>
      </c>
      <c r="G355" s="15">
        <v>208.98</v>
      </c>
      <c r="H355" s="16">
        <v>45999</v>
      </c>
      <c r="I355" s="16">
        <v>46510</v>
      </c>
      <c r="J355" s="16">
        <v>46694</v>
      </c>
      <c r="K355" s="14" t="s">
        <v>1989</v>
      </c>
      <c r="L355" s="16">
        <f>IF(D355="Packaging","",IF(ISNUMBER(J355),J355,IF(ISNUMBER(I355),EDATE(I355,VLOOKUP(D355,Assumptions!$A$10:$B$16,2,0)),"")))</f>
        <v>46694</v>
      </c>
      <c r="M355" s="14">
        <f>IF(ISNUMBER(L355),L355-Assumptions!$B$5,"")</f>
        <v>672</v>
      </c>
      <c r="N355" s="17">
        <f t="shared" si="30"/>
        <v>0</v>
      </c>
      <c r="O355" s="14">
        <f>IF(COUNTIF(Assumptions!$A$25:$A$27,A355)&gt;0,1,0)</f>
        <v>0</v>
      </c>
      <c r="P355" s="14">
        <f>IF(COUNTIF(Assumptions!$B$25:$B$26,A355)&gt;0,1,0)</f>
        <v>0</v>
      </c>
      <c r="Q355" s="14">
        <f>IF(COUNTIF(Assumptions!$C$25:$C$25,A355)&gt;0,1,0)</f>
        <v>0</v>
      </c>
      <c r="R355" s="17">
        <f t="shared" si="31"/>
        <v>0</v>
      </c>
      <c r="S355" s="15" t="str">
        <f>IFERROR(VLOOKUP(A355,Assumptions!$A$31:$B$33,2,0),"")</f>
        <v/>
      </c>
      <c r="T355" s="15">
        <f t="shared" si="32"/>
        <v>208.98</v>
      </c>
      <c r="U355" s="15">
        <f t="shared" si="33"/>
        <v>536869.62</v>
      </c>
      <c r="V355" s="15">
        <f t="shared" si="34"/>
        <v>536869.62</v>
      </c>
      <c r="W355" s="15">
        <f t="shared" si="35"/>
        <v>0</v>
      </c>
    </row>
    <row r="356" spans="1:23" ht="15" customHeight="1" x14ac:dyDescent="0.2">
      <c r="A356" s="14" t="s">
        <v>2565</v>
      </c>
      <c r="B356" s="14" t="s">
        <v>2566</v>
      </c>
      <c r="C356" s="14" t="s">
        <v>1987</v>
      </c>
      <c r="D356" s="14" t="s">
        <v>36</v>
      </c>
      <c r="E356" s="14" t="s">
        <v>1988</v>
      </c>
      <c r="F356" s="14">
        <v>3238</v>
      </c>
      <c r="G356" s="15">
        <v>26.74</v>
      </c>
      <c r="H356" s="16">
        <v>45962</v>
      </c>
      <c r="I356" s="16">
        <v>46026</v>
      </c>
      <c r="J356" s="16"/>
      <c r="K356" s="14" t="s">
        <v>2030</v>
      </c>
      <c r="L356" s="16">
        <f>IF(D356="Packaging","",IF(ISNUMBER(J356),J356,IF(ISNUMBER(I356),EDATE(I356,VLOOKUP(D356,Assumptions!$A$10:$B$16,2,0)),"")))</f>
        <v>46756</v>
      </c>
      <c r="M356" s="14">
        <f>IF(ISNUMBER(L356),L356-Assumptions!$B$5,"")</f>
        <v>734</v>
      </c>
      <c r="N356" s="17">
        <f t="shared" si="30"/>
        <v>0</v>
      </c>
      <c r="O356" s="14">
        <f>IF(COUNTIF(Assumptions!$A$25:$A$27,A356)&gt;0,1,0)</f>
        <v>0</v>
      </c>
      <c r="P356" s="14">
        <f>IF(COUNTIF(Assumptions!$B$25:$B$26,A356)&gt;0,1,0)</f>
        <v>0</v>
      </c>
      <c r="Q356" s="14">
        <f>IF(COUNTIF(Assumptions!$C$25:$C$25,A356)&gt;0,1,0)</f>
        <v>0</v>
      </c>
      <c r="R356" s="17">
        <f t="shared" si="31"/>
        <v>0</v>
      </c>
      <c r="S356" s="15" t="str">
        <f>IFERROR(VLOOKUP(A356,Assumptions!$A$31:$B$33,2,0),"")</f>
        <v/>
      </c>
      <c r="T356" s="15">
        <f t="shared" si="32"/>
        <v>26.74</v>
      </c>
      <c r="U356" s="15">
        <f t="shared" si="33"/>
        <v>86584.12</v>
      </c>
      <c r="V356" s="15">
        <f t="shared" si="34"/>
        <v>86584.12</v>
      </c>
      <c r="W356" s="15">
        <f t="shared" si="35"/>
        <v>0</v>
      </c>
    </row>
    <row r="357" spans="1:23" ht="15" customHeight="1" x14ac:dyDescent="0.2">
      <c r="A357" s="14" t="s">
        <v>2567</v>
      </c>
      <c r="B357" s="14" t="s">
        <v>2568</v>
      </c>
      <c r="C357" s="14" t="s">
        <v>2107</v>
      </c>
      <c r="D357" s="14" t="s">
        <v>42</v>
      </c>
      <c r="E357" s="14" t="s">
        <v>1988</v>
      </c>
      <c r="F357" s="14">
        <v>4219</v>
      </c>
      <c r="G357" s="15">
        <v>195.34</v>
      </c>
      <c r="H357" s="16">
        <v>45986</v>
      </c>
      <c r="I357" s="16">
        <v>46330</v>
      </c>
      <c r="J357" s="16">
        <v>46695</v>
      </c>
      <c r="K357" s="14" t="s">
        <v>2004</v>
      </c>
      <c r="L357" s="16">
        <f>IF(D357="Packaging","",IF(ISNUMBER(J357),J357,IF(ISNUMBER(I357),EDATE(I357,VLOOKUP(D357,Assumptions!$A$10:$B$16,2,0)),"")))</f>
        <v>46695</v>
      </c>
      <c r="M357" s="14">
        <f>IF(ISNUMBER(L357),L357-Assumptions!$B$5,"")</f>
        <v>673</v>
      </c>
      <c r="N357" s="17">
        <f t="shared" si="30"/>
        <v>0</v>
      </c>
      <c r="O357" s="14">
        <f>IF(COUNTIF(Assumptions!$A$25:$A$27,A357)&gt;0,1,0)</f>
        <v>0</v>
      </c>
      <c r="P357" s="14">
        <f>IF(COUNTIF(Assumptions!$B$25:$B$26,A357)&gt;0,1,0)</f>
        <v>0</v>
      </c>
      <c r="Q357" s="14">
        <f>IF(COUNTIF(Assumptions!$C$25:$C$25,A357)&gt;0,1,0)</f>
        <v>0</v>
      </c>
      <c r="R357" s="17">
        <f t="shared" si="31"/>
        <v>0</v>
      </c>
      <c r="S357" s="15" t="str">
        <f>IFERROR(VLOOKUP(A357,Assumptions!$A$31:$B$33,2,0),"")</f>
        <v/>
      </c>
      <c r="T357" s="15">
        <f t="shared" si="32"/>
        <v>195.34</v>
      </c>
      <c r="U357" s="15">
        <f t="shared" si="33"/>
        <v>824139.46</v>
      </c>
      <c r="V357" s="15">
        <f t="shared" si="34"/>
        <v>824139.46</v>
      </c>
      <c r="W357" s="15">
        <f t="shared" si="35"/>
        <v>0</v>
      </c>
    </row>
    <row r="358" spans="1:23" ht="15" customHeight="1" x14ac:dyDescent="0.2">
      <c r="A358" s="14" t="s">
        <v>2569</v>
      </c>
      <c r="B358" s="14" t="s">
        <v>2570</v>
      </c>
      <c r="C358" s="14" t="s">
        <v>2061</v>
      </c>
      <c r="D358" s="14" t="s">
        <v>44</v>
      </c>
      <c r="E358" s="14" t="s">
        <v>1993</v>
      </c>
      <c r="F358" s="14">
        <v>560</v>
      </c>
      <c r="G358" s="15">
        <v>288.44</v>
      </c>
      <c r="H358" s="16">
        <v>45981</v>
      </c>
      <c r="I358" s="16">
        <v>46081</v>
      </c>
      <c r="J358" s="16"/>
      <c r="K358" s="14" t="s">
        <v>2004</v>
      </c>
      <c r="L358" s="16">
        <f>IF(D358="Packaging","",IF(ISNUMBER(J358),J358,IF(ISNUMBER(I358),EDATE(I358,VLOOKUP(D358,Assumptions!$A$10:$B$16,2,0)),"")))</f>
        <v>46627</v>
      </c>
      <c r="M358" s="14">
        <f>IF(ISNUMBER(L358),L358-Assumptions!$B$5,"")</f>
        <v>605</v>
      </c>
      <c r="N358" s="17">
        <f t="shared" si="30"/>
        <v>0</v>
      </c>
      <c r="O358" s="14">
        <f>IF(COUNTIF(Assumptions!$A$25:$A$27,A358)&gt;0,1,0)</f>
        <v>0</v>
      </c>
      <c r="P358" s="14">
        <f>IF(COUNTIF(Assumptions!$B$25:$B$26,A358)&gt;0,1,0)</f>
        <v>0</v>
      </c>
      <c r="Q358" s="14">
        <f>IF(COUNTIF(Assumptions!$C$25:$C$25,A358)&gt;0,1,0)</f>
        <v>0</v>
      </c>
      <c r="R358" s="17">
        <f t="shared" si="31"/>
        <v>0</v>
      </c>
      <c r="S358" s="15" t="str">
        <f>IFERROR(VLOOKUP(A358,Assumptions!$A$31:$B$33,2,0),"")</f>
        <v/>
      </c>
      <c r="T358" s="15">
        <f t="shared" si="32"/>
        <v>288.44</v>
      </c>
      <c r="U358" s="15">
        <f t="shared" si="33"/>
        <v>161526.39999999999</v>
      </c>
      <c r="V358" s="15">
        <f t="shared" si="34"/>
        <v>161526.39999999999</v>
      </c>
      <c r="W358" s="15">
        <f t="shared" si="35"/>
        <v>0</v>
      </c>
    </row>
    <row r="359" spans="1:23" ht="15" customHeight="1" x14ac:dyDescent="0.2">
      <c r="A359" s="14" t="s">
        <v>2571</v>
      </c>
      <c r="B359" s="14" t="s">
        <v>2572</v>
      </c>
      <c r="C359" s="14" t="s">
        <v>2007</v>
      </c>
      <c r="D359" s="14" t="s">
        <v>47</v>
      </c>
      <c r="E359" s="14" t="s">
        <v>1993</v>
      </c>
      <c r="F359" s="14">
        <v>1706</v>
      </c>
      <c r="G359" s="15">
        <v>63.98</v>
      </c>
      <c r="H359" s="16">
        <v>45794</v>
      </c>
      <c r="I359" s="16">
        <v>45752</v>
      </c>
      <c r="J359" s="16"/>
      <c r="K359" s="14" t="s">
        <v>1989</v>
      </c>
      <c r="L359" s="16" t="str">
        <f>IF(D359="Packaging","",IF(ISNUMBER(J359),J359,IF(ISNUMBER(I359),EDATE(I359,VLOOKUP(D359,Assumptions!$A$10:$B$16,2,0)),"")))</f>
        <v/>
      </c>
      <c r="M359" s="14" t="str">
        <f>IF(ISNUMBER(L359),L359-Assumptions!$B$5,"")</f>
        <v/>
      </c>
      <c r="N359" s="17">
        <f t="shared" si="30"/>
        <v>0</v>
      </c>
      <c r="O359" s="14">
        <f>IF(COUNTIF(Assumptions!$A$25:$A$27,A359)&gt;0,1,0)</f>
        <v>0</v>
      </c>
      <c r="P359" s="14">
        <f>IF(COUNTIF(Assumptions!$B$25:$B$26,A359)&gt;0,1,0)</f>
        <v>0</v>
      </c>
      <c r="Q359" s="14">
        <f>IF(COUNTIF(Assumptions!$C$25:$C$25,A359)&gt;0,1,0)</f>
        <v>0</v>
      </c>
      <c r="R359" s="17">
        <f t="shared" si="31"/>
        <v>0</v>
      </c>
      <c r="S359" s="15" t="str">
        <f>IFERROR(VLOOKUP(A359,Assumptions!$A$31:$B$33,2,0),"")</f>
        <v/>
      </c>
      <c r="T359" s="15">
        <f t="shared" si="32"/>
        <v>63.98</v>
      </c>
      <c r="U359" s="15">
        <f t="shared" si="33"/>
        <v>109149.87999999999</v>
      </c>
      <c r="V359" s="15">
        <f t="shared" si="34"/>
        <v>109149.87999999999</v>
      </c>
      <c r="W359" s="15">
        <f t="shared" si="35"/>
        <v>0</v>
      </c>
    </row>
    <row r="360" spans="1:23" ht="15" customHeight="1" x14ac:dyDescent="0.2">
      <c r="A360" s="14" t="s">
        <v>2573</v>
      </c>
      <c r="B360" s="14" t="s">
        <v>2574</v>
      </c>
      <c r="C360" s="14" t="s">
        <v>2042</v>
      </c>
      <c r="D360" s="14" t="s">
        <v>47</v>
      </c>
      <c r="E360" s="14" t="s">
        <v>1993</v>
      </c>
      <c r="F360" s="14">
        <v>206</v>
      </c>
      <c r="G360" s="15">
        <v>351.12</v>
      </c>
      <c r="H360" s="16">
        <v>45591</v>
      </c>
      <c r="I360" s="16">
        <v>45553</v>
      </c>
      <c r="J360" s="16"/>
      <c r="K360" s="14" t="s">
        <v>2015</v>
      </c>
      <c r="L360" s="16" t="str">
        <f>IF(D360="Packaging","",IF(ISNUMBER(J360),J360,IF(ISNUMBER(I360),EDATE(I360,VLOOKUP(D360,Assumptions!$A$10:$B$16,2,0)),"")))</f>
        <v/>
      </c>
      <c r="M360" s="14" t="str">
        <f>IF(ISNUMBER(L360),L360-Assumptions!$B$5,"")</f>
        <v/>
      </c>
      <c r="N360" s="17">
        <f t="shared" si="30"/>
        <v>0</v>
      </c>
      <c r="O360" s="14">
        <f>IF(COUNTIF(Assumptions!$A$25:$A$27,A360)&gt;0,1,0)</f>
        <v>0</v>
      </c>
      <c r="P360" s="14">
        <f>IF(COUNTIF(Assumptions!$B$25:$B$26,A360)&gt;0,1,0)</f>
        <v>0</v>
      </c>
      <c r="Q360" s="14">
        <f>IF(COUNTIF(Assumptions!$C$25:$C$25,A360)&gt;0,1,0)</f>
        <v>0</v>
      </c>
      <c r="R360" s="17">
        <f t="shared" si="31"/>
        <v>0</v>
      </c>
      <c r="S360" s="15" t="str">
        <f>IFERROR(VLOOKUP(A360,Assumptions!$A$31:$B$33,2,0),"")</f>
        <v/>
      </c>
      <c r="T360" s="15">
        <f t="shared" si="32"/>
        <v>351.12</v>
      </c>
      <c r="U360" s="15">
        <f t="shared" si="33"/>
        <v>72330.720000000001</v>
      </c>
      <c r="V360" s="15">
        <f t="shared" si="34"/>
        <v>72330.720000000001</v>
      </c>
      <c r="W360" s="15">
        <f t="shared" si="35"/>
        <v>0</v>
      </c>
    </row>
    <row r="361" spans="1:23" ht="15" customHeight="1" x14ac:dyDescent="0.2">
      <c r="A361" s="14" t="s">
        <v>2575</v>
      </c>
      <c r="B361" s="14" t="s">
        <v>2576</v>
      </c>
      <c r="C361" s="14" t="s">
        <v>2033</v>
      </c>
      <c r="D361" s="14" t="s">
        <v>47</v>
      </c>
      <c r="E361" s="14" t="s">
        <v>2037</v>
      </c>
      <c r="F361" s="14">
        <v>2808</v>
      </c>
      <c r="G361" s="15">
        <v>257.81</v>
      </c>
      <c r="H361" s="16">
        <v>45737</v>
      </c>
      <c r="I361" s="16">
        <v>45663</v>
      </c>
      <c r="J361" s="16"/>
      <c r="K361" s="14" t="s">
        <v>1994</v>
      </c>
      <c r="L361" s="16" t="str">
        <f>IF(D361="Packaging","",IF(ISNUMBER(J361),J361,IF(ISNUMBER(I361),EDATE(I361,VLOOKUP(D361,Assumptions!$A$10:$B$16,2,0)),"")))</f>
        <v/>
      </c>
      <c r="M361" s="14" t="str">
        <f>IF(ISNUMBER(L361),L361-Assumptions!$B$5,"")</f>
        <v/>
      </c>
      <c r="N361" s="17">
        <f t="shared" si="30"/>
        <v>0</v>
      </c>
      <c r="O361" s="14">
        <f>IF(COUNTIF(Assumptions!$A$25:$A$27,A361)&gt;0,1,0)</f>
        <v>0</v>
      </c>
      <c r="P361" s="14">
        <f>IF(COUNTIF(Assumptions!$B$25:$B$26,A361)&gt;0,1,0)</f>
        <v>0</v>
      </c>
      <c r="Q361" s="14">
        <f>IF(COUNTIF(Assumptions!$C$25:$C$25,A361)&gt;0,1,0)</f>
        <v>0</v>
      </c>
      <c r="R361" s="17">
        <f t="shared" si="31"/>
        <v>0</v>
      </c>
      <c r="S361" s="15" t="str">
        <f>IFERROR(VLOOKUP(A361,Assumptions!$A$31:$B$33,2,0),"")</f>
        <v/>
      </c>
      <c r="T361" s="15">
        <f t="shared" si="32"/>
        <v>257.81</v>
      </c>
      <c r="U361" s="15">
        <f t="shared" si="33"/>
        <v>723930.48</v>
      </c>
      <c r="V361" s="15">
        <f t="shared" si="34"/>
        <v>723930.48</v>
      </c>
      <c r="W361" s="15">
        <f t="shared" si="35"/>
        <v>0</v>
      </c>
    </row>
    <row r="362" spans="1:23" ht="15" customHeight="1" x14ac:dyDescent="0.2">
      <c r="A362" s="14" t="s">
        <v>971</v>
      </c>
      <c r="B362" s="14" t="s">
        <v>970</v>
      </c>
      <c r="C362" s="14" t="s">
        <v>2043</v>
      </c>
      <c r="D362" s="14" t="s">
        <v>39</v>
      </c>
      <c r="E362" s="14" t="s">
        <v>1988</v>
      </c>
      <c r="F362" s="14">
        <v>1704</v>
      </c>
      <c r="G362" s="15">
        <v>79.97</v>
      </c>
      <c r="H362" s="16">
        <v>45232</v>
      </c>
      <c r="I362" s="16">
        <v>45174</v>
      </c>
      <c r="J362" s="16"/>
      <c r="K362" s="14" t="s">
        <v>1994</v>
      </c>
      <c r="L362" s="16">
        <f>IF(D362="Packaging","",IF(ISNUMBER(J362),J362,IF(ISNUMBER(I362),EDATE(I362,VLOOKUP(D362,Assumptions!$A$10:$B$16,2,0)),"")))</f>
        <v>46270</v>
      </c>
      <c r="M362" s="14">
        <f>IF(ISNUMBER(L362),L362-Assumptions!$B$5,"")</f>
        <v>248</v>
      </c>
      <c r="N362" s="17">
        <f t="shared" si="30"/>
        <v>0</v>
      </c>
      <c r="O362" s="14">
        <f>IF(COUNTIF(Assumptions!$A$25:$A$27,A362)&gt;0,1,0)</f>
        <v>0</v>
      </c>
      <c r="P362" s="14">
        <f>IF(COUNTIF(Assumptions!$B$25:$B$26,A362)&gt;0,1,0)</f>
        <v>0</v>
      </c>
      <c r="Q362" s="14">
        <f>IF(COUNTIF(Assumptions!$C$25:$C$25,A362)&gt;0,1,0)</f>
        <v>0</v>
      </c>
      <c r="R362" s="17">
        <f t="shared" si="31"/>
        <v>0</v>
      </c>
      <c r="S362" s="15" t="str">
        <f>IFERROR(VLOOKUP(A362,Assumptions!$A$31:$B$33,2,0),"")</f>
        <v/>
      </c>
      <c r="T362" s="15">
        <f t="shared" si="32"/>
        <v>79.97</v>
      </c>
      <c r="U362" s="15">
        <f t="shared" si="33"/>
        <v>136268.88</v>
      </c>
      <c r="V362" s="15">
        <f t="shared" si="34"/>
        <v>136268.88</v>
      </c>
      <c r="W362" s="15">
        <f t="shared" si="35"/>
        <v>0</v>
      </c>
    </row>
    <row r="363" spans="1:23" ht="15" customHeight="1" x14ac:dyDescent="0.2">
      <c r="A363" s="14" t="s">
        <v>2577</v>
      </c>
      <c r="B363" s="14" t="s">
        <v>2578</v>
      </c>
      <c r="C363" s="14" t="s">
        <v>2159</v>
      </c>
      <c r="D363" s="14" t="s">
        <v>46</v>
      </c>
      <c r="E363" s="14" t="s">
        <v>2037</v>
      </c>
      <c r="F363" s="14">
        <v>4151</v>
      </c>
      <c r="G363" s="15">
        <v>397.9</v>
      </c>
      <c r="H363" s="16">
        <v>45979</v>
      </c>
      <c r="I363" s="16">
        <v>46391</v>
      </c>
      <c r="J363" s="16"/>
      <c r="K363" s="14" t="s">
        <v>1989</v>
      </c>
      <c r="L363" s="16">
        <f>IF(D363="Packaging","",IF(ISNUMBER(J363),J363,IF(ISNUMBER(I363),EDATE(I363,VLOOKUP(D363,Assumptions!$A$10:$B$16,2,0)),"")))</f>
        <v>46664</v>
      </c>
      <c r="M363" s="14">
        <f>IF(ISNUMBER(L363),L363-Assumptions!$B$5,"")</f>
        <v>642</v>
      </c>
      <c r="N363" s="17">
        <f t="shared" si="30"/>
        <v>0</v>
      </c>
      <c r="O363" s="14">
        <f>IF(COUNTIF(Assumptions!$A$25:$A$27,A363)&gt;0,1,0)</f>
        <v>0</v>
      </c>
      <c r="P363" s="14">
        <f>IF(COUNTIF(Assumptions!$B$25:$B$26,A363)&gt;0,1,0)</f>
        <v>0</v>
      </c>
      <c r="Q363" s="14">
        <f>IF(COUNTIF(Assumptions!$C$25:$C$25,A363)&gt;0,1,0)</f>
        <v>0</v>
      </c>
      <c r="R363" s="17">
        <f t="shared" si="31"/>
        <v>0</v>
      </c>
      <c r="S363" s="15" t="str">
        <f>IFERROR(VLOOKUP(A363,Assumptions!$A$31:$B$33,2,0),"")</f>
        <v/>
      </c>
      <c r="T363" s="15">
        <f t="shared" si="32"/>
        <v>397.9</v>
      </c>
      <c r="U363" s="15">
        <f t="shared" si="33"/>
        <v>1651682.9</v>
      </c>
      <c r="V363" s="15">
        <f t="shared" si="34"/>
        <v>1651682.9</v>
      </c>
      <c r="W363" s="15">
        <f t="shared" si="35"/>
        <v>0</v>
      </c>
    </row>
    <row r="364" spans="1:23" ht="15" customHeight="1" x14ac:dyDescent="0.2">
      <c r="A364" s="14" t="s">
        <v>2579</v>
      </c>
      <c r="B364" s="14" t="s">
        <v>2580</v>
      </c>
      <c r="C364" s="14" t="s">
        <v>2101</v>
      </c>
      <c r="D364" s="14" t="s">
        <v>46</v>
      </c>
      <c r="E364" s="14" t="s">
        <v>1988</v>
      </c>
      <c r="F364" s="14">
        <v>2803</v>
      </c>
      <c r="G364" s="15">
        <v>248.07</v>
      </c>
      <c r="H364" s="16">
        <v>45966</v>
      </c>
      <c r="I364" s="16">
        <v>46051</v>
      </c>
      <c r="J364" s="16">
        <v>46324</v>
      </c>
      <c r="K364" s="14" t="s">
        <v>2021</v>
      </c>
      <c r="L364" s="16">
        <f>IF(D364="Packaging","",IF(ISNUMBER(J364),J364,IF(ISNUMBER(I364),EDATE(I364,VLOOKUP(D364,Assumptions!$A$10:$B$16,2,0)),"")))</f>
        <v>46324</v>
      </c>
      <c r="M364" s="14">
        <f>IF(ISNUMBER(L364),L364-Assumptions!$B$5,"")</f>
        <v>302</v>
      </c>
      <c r="N364" s="17">
        <f t="shared" si="30"/>
        <v>0</v>
      </c>
      <c r="O364" s="14">
        <f>IF(COUNTIF(Assumptions!$A$25:$A$27,A364)&gt;0,1,0)</f>
        <v>0</v>
      </c>
      <c r="P364" s="14">
        <f>IF(COUNTIF(Assumptions!$B$25:$B$26,A364)&gt;0,1,0)</f>
        <v>0</v>
      </c>
      <c r="Q364" s="14">
        <f>IF(COUNTIF(Assumptions!$C$25:$C$25,A364)&gt;0,1,0)</f>
        <v>0</v>
      </c>
      <c r="R364" s="17">
        <f t="shared" si="31"/>
        <v>0</v>
      </c>
      <c r="S364" s="15" t="str">
        <f>IFERROR(VLOOKUP(A364,Assumptions!$A$31:$B$33,2,0),"")</f>
        <v/>
      </c>
      <c r="T364" s="15">
        <f t="shared" si="32"/>
        <v>248.07</v>
      </c>
      <c r="U364" s="15">
        <f t="shared" si="33"/>
        <v>695340.21</v>
      </c>
      <c r="V364" s="15">
        <f t="shared" si="34"/>
        <v>695340.21</v>
      </c>
      <c r="W364" s="15">
        <f t="shared" si="35"/>
        <v>0</v>
      </c>
    </row>
    <row r="365" spans="1:23" ht="15" customHeight="1" x14ac:dyDescent="0.2">
      <c r="A365" s="14" t="s">
        <v>2581</v>
      </c>
      <c r="B365" s="14" t="s">
        <v>2582</v>
      </c>
      <c r="C365" s="14" t="s">
        <v>2036</v>
      </c>
      <c r="D365" s="14" t="s">
        <v>45</v>
      </c>
      <c r="E365" s="14" t="s">
        <v>1993</v>
      </c>
      <c r="F365" s="14">
        <v>717</v>
      </c>
      <c r="G365" s="15">
        <v>35.78</v>
      </c>
      <c r="H365" s="16">
        <v>46012</v>
      </c>
      <c r="I365" s="16">
        <v>46202</v>
      </c>
      <c r="J365" s="16"/>
      <c r="K365" s="14" t="s">
        <v>2004</v>
      </c>
      <c r="L365" s="16">
        <f>IF(D365="Packaging","",IF(ISNUMBER(J365),J365,IF(ISNUMBER(I365),EDATE(I365,VLOOKUP(D365,Assumptions!$A$10:$B$16,2,0)),"")))</f>
        <v>46385</v>
      </c>
      <c r="M365" s="14">
        <f>IF(ISNUMBER(L365),L365-Assumptions!$B$5,"")</f>
        <v>363</v>
      </c>
      <c r="N365" s="17">
        <f t="shared" si="30"/>
        <v>0</v>
      </c>
      <c r="O365" s="14">
        <f>IF(COUNTIF(Assumptions!$A$25:$A$27,A365)&gt;0,1,0)</f>
        <v>0</v>
      </c>
      <c r="P365" s="14">
        <f>IF(COUNTIF(Assumptions!$B$25:$B$26,A365)&gt;0,1,0)</f>
        <v>0</v>
      </c>
      <c r="Q365" s="14">
        <f>IF(COUNTIF(Assumptions!$C$25:$C$25,A365)&gt;0,1,0)</f>
        <v>0</v>
      </c>
      <c r="R365" s="17">
        <f t="shared" si="31"/>
        <v>0</v>
      </c>
      <c r="S365" s="15" t="str">
        <f>IFERROR(VLOOKUP(A365,Assumptions!$A$31:$B$33,2,0),"")</f>
        <v/>
      </c>
      <c r="T365" s="15">
        <f t="shared" si="32"/>
        <v>35.78</v>
      </c>
      <c r="U365" s="15">
        <f t="shared" si="33"/>
        <v>25654.260000000002</v>
      </c>
      <c r="V365" s="15">
        <f t="shared" si="34"/>
        <v>25654.260000000002</v>
      </c>
      <c r="W365" s="15">
        <f t="shared" si="35"/>
        <v>0</v>
      </c>
    </row>
    <row r="366" spans="1:23" ht="15" customHeight="1" x14ac:dyDescent="0.2">
      <c r="A366" s="14" t="s">
        <v>2583</v>
      </c>
      <c r="B366" s="14" t="s">
        <v>2584</v>
      </c>
      <c r="C366" s="14" t="s">
        <v>1435</v>
      </c>
      <c r="D366" s="14" t="s">
        <v>36</v>
      </c>
      <c r="E366" s="14" t="s">
        <v>2037</v>
      </c>
      <c r="F366" s="14">
        <v>3059</v>
      </c>
      <c r="G366" s="15">
        <v>252.03</v>
      </c>
      <c r="H366" s="16">
        <v>45953</v>
      </c>
      <c r="I366" s="16">
        <v>45898</v>
      </c>
      <c r="J366" s="16"/>
      <c r="K366" s="14" t="s">
        <v>2021</v>
      </c>
      <c r="L366" s="16">
        <f>IF(D366="Packaging","",IF(ISNUMBER(J366),J366,IF(ISNUMBER(I366),EDATE(I366,VLOOKUP(D366,Assumptions!$A$10:$B$16,2,0)),"")))</f>
        <v>46628</v>
      </c>
      <c r="M366" s="14">
        <f>IF(ISNUMBER(L366),L366-Assumptions!$B$5,"")</f>
        <v>606</v>
      </c>
      <c r="N366" s="17">
        <f t="shared" si="30"/>
        <v>0</v>
      </c>
      <c r="O366" s="14">
        <f>IF(COUNTIF(Assumptions!$A$25:$A$27,A366)&gt;0,1,0)</f>
        <v>0</v>
      </c>
      <c r="P366" s="14">
        <f>IF(COUNTIF(Assumptions!$B$25:$B$26,A366)&gt;0,1,0)</f>
        <v>0</v>
      </c>
      <c r="Q366" s="14">
        <f>IF(COUNTIF(Assumptions!$C$25:$C$25,A366)&gt;0,1,0)</f>
        <v>0</v>
      </c>
      <c r="R366" s="17">
        <f t="shared" si="31"/>
        <v>0</v>
      </c>
      <c r="S366" s="15" t="str">
        <f>IFERROR(VLOOKUP(A366,Assumptions!$A$31:$B$33,2,0),"")</f>
        <v/>
      </c>
      <c r="T366" s="15">
        <f t="shared" si="32"/>
        <v>252.03</v>
      </c>
      <c r="U366" s="15">
        <f t="shared" si="33"/>
        <v>770959.77</v>
      </c>
      <c r="V366" s="15">
        <f t="shared" si="34"/>
        <v>770959.77</v>
      </c>
      <c r="W366" s="15">
        <f t="shared" si="35"/>
        <v>0</v>
      </c>
    </row>
    <row r="367" spans="1:23" ht="15" customHeight="1" x14ac:dyDescent="0.2">
      <c r="A367" s="14" t="s">
        <v>1423</v>
      </c>
      <c r="B367" s="14" t="s">
        <v>1422</v>
      </c>
      <c r="C367" s="14" t="s">
        <v>2137</v>
      </c>
      <c r="D367" s="14" t="s">
        <v>36</v>
      </c>
      <c r="E367" s="14" t="s">
        <v>2037</v>
      </c>
      <c r="F367" s="14">
        <v>304</v>
      </c>
      <c r="G367" s="15">
        <v>138.25</v>
      </c>
      <c r="H367" s="16">
        <v>45677</v>
      </c>
      <c r="I367" s="16">
        <v>45613</v>
      </c>
      <c r="J367" s="16"/>
      <c r="K367" s="14" t="s">
        <v>2052</v>
      </c>
      <c r="L367" s="16">
        <f>IF(D367="Packaging","",IF(ISNUMBER(J367),J367,IF(ISNUMBER(I367),EDATE(I367,VLOOKUP(D367,Assumptions!$A$10:$B$16,2,0)),"")))</f>
        <v>46343</v>
      </c>
      <c r="M367" s="14">
        <f>IF(ISNUMBER(L367),L367-Assumptions!$B$5,"")</f>
        <v>321</v>
      </c>
      <c r="N367" s="17">
        <f t="shared" si="30"/>
        <v>0</v>
      </c>
      <c r="O367" s="14">
        <f>IF(COUNTIF(Assumptions!$A$25:$A$27,A367)&gt;0,1,0)</f>
        <v>0</v>
      </c>
      <c r="P367" s="14">
        <f>IF(COUNTIF(Assumptions!$B$25:$B$26,A367)&gt;0,1,0)</f>
        <v>0</v>
      </c>
      <c r="Q367" s="14">
        <f>IF(COUNTIF(Assumptions!$C$25:$C$25,A367)&gt;0,1,0)</f>
        <v>0</v>
      </c>
      <c r="R367" s="17">
        <f t="shared" si="31"/>
        <v>0</v>
      </c>
      <c r="S367" s="15" t="str">
        <f>IFERROR(VLOOKUP(A367,Assumptions!$A$31:$B$33,2,0),"")</f>
        <v/>
      </c>
      <c r="T367" s="15">
        <f t="shared" si="32"/>
        <v>138.25</v>
      </c>
      <c r="U367" s="15">
        <f t="shared" si="33"/>
        <v>42028</v>
      </c>
      <c r="V367" s="15">
        <f t="shared" si="34"/>
        <v>42028</v>
      </c>
      <c r="W367" s="15">
        <f t="shared" si="35"/>
        <v>0</v>
      </c>
    </row>
    <row r="368" spans="1:23" ht="15" customHeight="1" x14ac:dyDescent="0.2">
      <c r="A368" s="14" t="s">
        <v>2585</v>
      </c>
      <c r="B368" s="14" t="s">
        <v>2586</v>
      </c>
      <c r="C368" s="14" t="s">
        <v>2107</v>
      </c>
      <c r="D368" s="14" t="s">
        <v>42</v>
      </c>
      <c r="E368" s="14" t="s">
        <v>1988</v>
      </c>
      <c r="F368" s="14">
        <v>3004</v>
      </c>
      <c r="G368" s="15">
        <v>275.13</v>
      </c>
      <c r="H368" s="16">
        <v>46011</v>
      </c>
      <c r="I368" s="16">
        <v>45978</v>
      </c>
      <c r="J368" s="16">
        <v>46343</v>
      </c>
      <c r="K368" s="14" t="s">
        <v>2015</v>
      </c>
      <c r="L368" s="16">
        <f>IF(D368="Packaging","",IF(ISNUMBER(J368),J368,IF(ISNUMBER(I368),EDATE(I368,VLOOKUP(D368,Assumptions!$A$10:$B$16,2,0)),"")))</f>
        <v>46343</v>
      </c>
      <c r="M368" s="14">
        <f>IF(ISNUMBER(L368),L368-Assumptions!$B$5,"")</f>
        <v>321</v>
      </c>
      <c r="N368" s="17">
        <f t="shared" si="30"/>
        <v>0</v>
      </c>
      <c r="O368" s="14">
        <f>IF(COUNTIF(Assumptions!$A$25:$A$27,A368)&gt;0,1,0)</f>
        <v>0</v>
      </c>
      <c r="P368" s="14">
        <f>IF(COUNTIF(Assumptions!$B$25:$B$26,A368)&gt;0,1,0)</f>
        <v>0</v>
      </c>
      <c r="Q368" s="14">
        <f>IF(COUNTIF(Assumptions!$C$25:$C$25,A368)&gt;0,1,0)</f>
        <v>0</v>
      </c>
      <c r="R368" s="17">
        <f t="shared" si="31"/>
        <v>0</v>
      </c>
      <c r="S368" s="15" t="str">
        <f>IFERROR(VLOOKUP(A368,Assumptions!$A$31:$B$33,2,0),"")</f>
        <v/>
      </c>
      <c r="T368" s="15">
        <f t="shared" si="32"/>
        <v>275.13</v>
      </c>
      <c r="U368" s="15">
        <f t="shared" si="33"/>
        <v>826490.52</v>
      </c>
      <c r="V368" s="15">
        <f t="shared" si="34"/>
        <v>826490.52</v>
      </c>
      <c r="W368" s="15">
        <f t="shared" si="35"/>
        <v>0</v>
      </c>
    </row>
    <row r="369" spans="1:23" ht="15" customHeight="1" x14ac:dyDescent="0.2">
      <c r="A369" s="14" t="s">
        <v>2587</v>
      </c>
      <c r="B369" s="14" t="s">
        <v>2588</v>
      </c>
      <c r="C369" s="14" t="s">
        <v>2104</v>
      </c>
      <c r="D369" s="14" t="s">
        <v>36</v>
      </c>
      <c r="E369" s="14" t="s">
        <v>1993</v>
      </c>
      <c r="F369" s="14">
        <v>3579</v>
      </c>
      <c r="G369" s="15">
        <v>6.85</v>
      </c>
      <c r="H369" s="16">
        <v>45933</v>
      </c>
      <c r="I369" s="16">
        <v>45869</v>
      </c>
      <c r="J369" s="16">
        <v>46599</v>
      </c>
      <c r="K369" s="14" t="s">
        <v>2004</v>
      </c>
      <c r="L369" s="16">
        <f>IF(D369="Packaging","",IF(ISNUMBER(J369),J369,IF(ISNUMBER(I369),EDATE(I369,VLOOKUP(D369,Assumptions!$A$10:$B$16,2,0)),"")))</f>
        <v>46599</v>
      </c>
      <c r="M369" s="14">
        <f>IF(ISNUMBER(L369),L369-Assumptions!$B$5,"")</f>
        <v>577</v>
      </c>
      <c r="N369" s="17">
        <f t="shared" si="30"/>
        <v>0</v>
      </c>
      <c r="O369" s="14">
        <f>IF(COUNTIF(Assumptions!$A$25:$A$27,A369)&gt;0,1,0)</f>
        <v>0</v>
      </c>
      <c r="P369" s="14">
        <f>IF(COUNTIF(Assumptions!$B$25:$B$26,A369)&gt;0,1,0)</f>
        <v>0</v>
      </c>
      <c r="Q369" s="14">
        <f>IF(COUNTIF(Assumptions!$C$25:$C$25,A369)&gt;0,1,0)</f>
        <v>0</v>
      </c>
      <c r="R369" s="17">
        <f t="shared" si="31"/>
        <v>0</v>
      </c>
      <c r="S369" s="15" t="str">
        <f>IFERROR(VLOOKUP(A369,Assumptions!$A$31:$B$33,2,0),"")</f>
        <v/>
      </c>
      <c r="T369" s="15">
        <f t="shared" si="32"/>
        <v>6.85</v>
      </c>
      <c r="U369" s="15">
        <f t="shared" si="33"/>
        <v>24516.149999999998</v>
      </c>
      <c r="V369" s="15">
        <f t="shared" si="34"/>
        <v>24516.149999999998</v>
      </c>
      <c r="W369" s="15">
        <f t="shared" si="35"/>
        <v>0</v>
      </c>
    </row>
    <row r="370" spans="1:23" ht="15" customHeight="1" x14ac:dyDescent="0.2">
      <c r="A370" s="14" t="s">
        <v>2589</v>
      </c>
      <c r="B370" s="14" t="s">
        <v>2590</v>
      </c>
      <c r="C370" s="14" t="s">
        <v>2042</v>
      </c>
      <c r="D370" s="14" t="s">
        <v>47</v>
      </c>
      <c r="E370" s="14" t="s">
        <v>2037</v>
      </c>
      <c r="F370" s="14">
        <v>4279</v>
      </c>
      <c r="G370" s="15">
        <v>204.74</v>
      </c>
      <c r="H370" s="16">
        <v>45963</v>
      </c>
      <c r="I370" s="16">
        <v>45948</v>
      </c>
      <c r="J370" s="16"/>
      <c r="K370" s="14" t="s">
        <v>2015</v>
      </c>
      <c r="L370" s="16" t="str">
        <f>IF(D370="Packaging","",IF(ISNUMBER(J370),J370,IF(ISNUMBER(I370),EDATE(I370,VLOOKUP(D370,Assumptions!$A$10:$B$16,2,0)),"")))</f>
        <v/>
      </c>
      <c r="M370" s="14" t="str">
        <f>IF(ISNUMBER(L370),L370-Assumptions!$B$5,"")</f>
        <v/>
      </c>
      <c r="N370" s="17">
        <f t="shared" si="30"/>
        <v>0</v>
      </c>
      <c r="O370" s="14">
        <f>IF(COUNTIF(Assumptions!$A$25:$A$27,A370)&gt;0,1,0)</f>
        <v>0</v>
      </c>
      <c r="P370" s="14">
        <f>IF(COUNTIF(Assumptions!$B$25:$B$26,A370)&gt;0,1,0)</f>
        <v>0</v>
      </c>
      <c r="Q370" s="14">
        <f>IF(COUNTIF(Assumptions!$C$25:$C$25,A370)&gt;0,1,0)</f>
        <v>0</v>
      </c>
      <c r="R370" s="17">
        <f t="shared" si="31"/>
        <v>0</v>
      </c>
      <c r="S370" s="15" t="str">
        <f>IFERROR(VLOOKUP(A370,Assumptions!$A$31:$B$33,2,0),"")</f>
        <v/>
      </c>
      <c r="T370" s="15">
        <f t="shared" si="32"/>
        <v>204.74</v>
      </c>
      <c r="U370" s="15">
        <f t="shared" si="33"/>
        <v>876082.46000000008</v>
      </c>
      <c r="V370" s="15">
        <f t="shared" si="34"/>
        <v>876082.46000000008</v>
      </c>
      <c r="W370" s="15">
        <f t="shared" si="35"/>
        <v>0</v>
      </c>
    </row>
    <row r="371" spans="1:23" ht="15" customHeight="1" x14ac:dyDescent="0.2">
      <c r="A371" s="14" t="s">
        <v>2591</v>
      </c>
      <c r="B371" s="14" t="s">
        <v>2592</v>
      </c>
      <c r="C371" s="14" t="s">
        <v>2000</v>
      </c>
      <c r="D371" s="14" t="s">
        <v>45</v>
      </c>
      <c r="E371" s="14" t="s">
        <v>1993</v>
      </c>
      <c r="F371" s="14">
        <v>1747</v>
      </c>
      <c r="G371" s="15">
        <v>319.38</v>
      </c>
      <c r="H371" s="16">
        <v>46008</v>
      </c>
      <c r="I371" s="16">
        <v>46448</v>
      </c>
      <c r="J371" s="16"/>
      <c r="K371" s="14" t="s">
        <v>2052</v>
      </c>
      <c r="L371" s="16">
        <f>IF(D371="Packaging","",IF(ISNUMBER(J371),J371,IF(ISNUMBER(I371),EDATE(I371,VLOOKUP(D371,Assumptions!$A$10:$B$16,2,0)),"")))</f>
        <v>46632</v>
      </c>
      <c r="M371" s="14">
        <f>IF(ISNUMBER(L371),L371-Assumptions!$B$5,"")</f>
        <v>610</v>
      </c>
      <c r="N371" s="17">
        <f t="shared" si="30"/>
        <v>0</v>
      </c>
      <c r="O371" s="14">
        <f>IF(COUNTIF(Assumptions!$A$25:$A$27,A371)&gt;0,1,0)</f>
        <v>0</v>
      </c>
      <c r="P371" s="14">
        <f>IF(COUNTIF(Assumptions!$B$25:$B$26,A371)&gt;0,1,0)</f>
        <v>0</v>
      </c>
      <c r="Q371" s="14">
        <f>IF(COUNTIF(Assumptions!$C$25:$C$25,A371)&gt;0,1,0)</f>
        <v>0</v>
      </c>
      <c r="R371" s="17">
        <f t="shared" si="31"/>
        <v>0</v>
      </c>
      <c r="S371" s="15" t="str">
        <f>IFERROR(VLOOKUP(A371,Assumptions!$A$31:$B$33,2,0),"")</f>
        <v/>
      </c>
      <c r="T371" s="15">
        <f t="shared" si="32"/>
        <v>319.38</v>
      </c>
      <c r="U371" s="15">
        <f t="shared" si="33"/>
        <v>557956.86</v>
      </c>
      <c r="V371" s="15">
        <f t="shared" si="34"/>
        <v>557956.86</v>
      </c>
      <c r="W371" s="15">
        <f t="shared" si="35"/>
        <v>0</v>
      </c>
    </row>
    <row r="372" spans="1:23" ht="15" customHeight="1" x14ac:dyDescent="0.2">
      <c r="A372" s="14" t="s">
        <v>2593</v>
      </c>
      <c r="B372" s="14" t="s">
        <v>2594</v>
      </c>
      <c r="C372" s="14" t="s">
        <v>1997</v>
      </c>
      <c r="D372" s="14" t="s">
        <v>45</v>
      </c>
      <c r="E372" s="14" t="s">
        <v>1988</v>
      </c>
      <c r="F372" s="14">
        <v>2465</v>
      </c>
      <c r="G372" s="15">
        <v>281.97000000000003</v>
      </c>
      <c r="H372" s="16">
        <v>45974</v>
      </c>
      <c r="I372" s="16">
        <v>46058</v>
      </c>
      <c r="J372" s="16">
        <v>46239</v>
      </c>
      <c r="K372" s="14" t="s">
        <v>2004</v>
      </c>
      <c r="L372" s="16">
        <f>IF(D372="Packaging","",IF(ISNUMBER(J372),J372,IF(ISNUMBER(I372),EDATE(I372,VLOOKUP(D372,Assumptions!$A$10:$B$16,2,0)),"")))</f>
        <v>46239</v>
      </c>
      <c r="M372" s="14">
        <f>IF(ISNUMBER(L372),L372-Assumptions!$B$5,"")</f>
        <v>217</v>
      </c>
      <c r="N372" s="17">
        <f t="shared" si="30"/>
        <v>0</v>
      </c>
      <c r="O372" s="14">
        <f>IF(COUNTIF(Assumptions!$A$25:$A$27,A372)&gt;0,1,0)</f>
        <v>0</v>
      </c>
      <c r="P372" s="14">
        <f>IF(COUNTIF(Assumptions!$B$25:$B$26,A372)&gt;0,1,0)</f>
        <v>0</v>
      </c>
      <c r="Q372" s="14">
        <f>IF(COUNTIF(Assumptions!$C$25:$C$25,A372)&gt;0,1,0)</f>
        <v>0</v>
      </c>
      <c r="R372" s="17">
        <f t="shared" si="31"/>
        <v>0</v>
      </c>
      <c r="S372" s="15" t="str">
        <f>IFERROR(VLOOKUP(A372,Assumptions!$A$31:$B$33,2,0),"")</f>
        <v/>
      </c>
      <c r="T372" s="15">
        <f t="shared" si="32"/>
        <v>281.97000000000003</v>
      </c>
      <c r="U372" s="15">
        <f t="shared" si="33"/>
        <v>695056.05</v>
      </c>
      <c r="V372" s="15">
        <f t="shared" si="34"/>
        <v>695056.05</v>
      </c>
      <c r="W372" s="15">
        <f t="shared" si="35"/>
        <v>0</v>
      </c>
    </row>
    <row r="373" spans="1:23" ht="15" customHeight="1" x14ac:dyDescent="0.2">
      <c r="A373" s="14" t="s">
        <v>2595</v>
      </c>
      <c r="B373" s="14" t="s">
        <v>2596</v>
      </c>
      <c r="C373" s="14" t="s">
        <v>2101</v>
      </c>
      <c r="D373" s="14" t="s">
        <v>46</v>
      </c>
      <c r="E373" s="14" t="s">
        <v>2014</v>
      </c>
      <c r="F373" s="14">
        <v>2424</v>
      </c>
      <c r="G373" s="15">
        <v>135.63999999999999</v>
      </c>
      <c r="H373" s="16">
        <v>45987</v>
      </c>
      <c r="I373" s="16">
        <v>46301</v>
      </c>
      <c r="J373" s="16"/>
      <c r="K373" s="14" t="s">
        <v>1989</v>
      </c>
      <c r="L373" s="16">
        <f>IF(D373="Packaging","",IF(ISNUMBER(J373),J373,IF(ISNUMBER(I373),EDATE(I373,VLOOKUP(D373,Assumptions!$A$10:$B$16,2,0)),"")))</f>
        <v>46574</v>
      </c>
      <c r="M373" s="14">
        <f>IF(ISNUMBER(L373),L373-Assumptions!$B$5,"")</f>
        <v>552</v>
      </c>
      <c r="N373" s="17">
        <f t="shared" si="30"/>
        <v>0</v>
      </c>
      <c r="O373" s="14">
        <f>IF(COUNTIF(Assumptions!$A$25:$A$27,A373)&gt;0,1,0)</f>
        <v>0</v>
      </c>
      <c r="P373" s="14">
        <f>IF(COUNTIF(Assumptions!$B$25:$B$26,A373)&gt;0,1,0)</f>
        <v>0</v>
      </c>
      <c r="Q373" s="14">
        <f>IF(COUNTIF(Assumptions!$C$25:$C$25,A373)&gt;0,1,0)</f>
        <v>0</v>
      </c>
      <c r="R373" s="17">
        <f t="shared" si="31"/>
        <v>0</v>
      </c>
      <c r="S373" s="15" t="str">
        <f>IFERROR(VLOOKUP(A373,Assumptions!$A$31:$B$33,2,0),"")</f>
        <v/>
      </c>
      <c r="T373" s="15">
        <f t="shared" si="32"/>
        <v>135.63999999999999</v>
      </c>
      <c r="U373" s="15">
        <f t="shared" si="33"/>
        <v>328791.36</v>
      </c>
      <c r="V373" s="15">
        <f t="shared" si="34"/>
        <v>328791.36</v>
      </c>
      <c r="W373" s="15">
        <f t="shared" si="35"/>
        <v>0</v>
      </c>
    </row>
    <row r="374" spans="1:23" ht="15" customHeight="1" x14ac:dyDescent="0.2">
      <c r="A374" s="14" t="s">
        <v>2597</v>
      </c>
      <c r="B374" s="14" t="s">
        <v>2598</v>
      </c>
      <c r="C374" s="14" t="s">
        <v>2066</v>
      </c>
      <c r="D374" s="14" t="s">
        <v>42</v>
      </c>
      <c r="E374" s="14" t="s">
        <v>2014</v>
      </c>
      <c r="F374" s="14">
        <v>4847</v>
      </c>
      <c r="G374" s="15">
        <v>410.16</v>
      </c>
      <c r="H374" s="16">
        <v>45986</v>
      </c>
      <c r="I374" s="16">
        <v>46401</v>
      </c>
      <c r="J374" s="16">
        <v>46766</v>
      </c>
      <c r="K374" s="14" t="s">
        <v>2004</v>
      </c>
      <c r="L374" s="16">
        <f>IF(D374="Packaging","",IF(ISNUMBER(J374),J374,IF(ISNUMBER(I374),EDATE(I374,VLOOKUP(D374,Assumptions!$A$10:$B$16,2,0)),"")))</f>
        <v>46766</v>
      </c>
      <c r="M374" s="14">
        <f>IF(ISNUMBER(L374),L374-Assumptions!$B$5,"")</f>
        <v>744</v>
      </c>
      <c r="N374" s="17">
        <f t="shared" si="30"/>
        <v>0</v>
      </c>
      <c r="O374" s="14">
        <f>IF(COUNTIF(Assumptions!$A$25:$A$27,A374)&gt;0,1,0)</f>
        <v>0</v>
      </c>
      <c r="P374" s="14">
        <f>IF(COUNTIF(Assumptions!$B$25:$B$26,A374)&gt;0,1,0)</f>
        <v>0</v>
      </c>
      <c r="Q374" s="14">
        <f>IF(COUNTIF(Assumptions!$C$25:$C$25,A374)&gt;0,1,0)</f>
        <v>0</v>
      </c>
      <c r="R374" s="17">
        <f t="shared" si="31"/>
        <v>0</v>
      </c>
      <c r="S374" s="15" t="str">
        <f>IFERROR(VLOOKUP(A374,Assumptions!$A$31:$B$33,2,0),"")</f>
        <v/>
      </c>
      <c r="T374" s="15">
        <f t="shared" si="32"/>
        <v>410.16</v>
      </c>
      <c r="U374" s="15">
        <f t="shared" si="33"/>
        <v>1988045.52</v>
      </c>
      <c r="V374" s="15">
        <f t="shared" si="34"/>
        <v>1988045.52</v>
      </c>
      <c r="W374" s="15">
        <f t="shared" si="35"/>
        <v>0</v>
      </c>
    </row>
    <row r="375" spans="1:23" ht="15" customHeight="1" x14ac:dyDescent="0.2">
      <c r="A375" s="14" t="s">
        <v>507</v>
      </c>
      <c r="B375" s="14" t="s">
        <v>506</v>
      </c>
      <c r="C375" s="14" t="s">
        <v>1435</v>
      </c>
      <c r="D375" s="14" t="s">
        <v>36</v>
      </c>
      <c r="E375" s="14" t="s">
        <v>2014</v>
      </c>
      <c r="F375" s="14">
        <v>4535</v>
      </c>
      <c r="G375" s="15">
        <v>13.85</v>
      </c>
      <c r="H375" s="16">
        <v>45566</v>
      </c>
      <c r="I375" s="16">
        <v>45505</v>
      </c>
      <c r="J375" s="16"/>
      <c r="K375" s="14" t="s">
        <v>2015</v>
      </c>
      <c r="L375" s="16">
        <f>IF(D375="Packaging","",IF(ISNUMBER(J375),J375,IF(ISNUMBER(I375),EDATE(I375,VLOOKUP(D375,Assumptions!$A$10:$B$16,2,0)),"")))</f>
        <v>46235</v>
      </c>
      <c r="M375" s="14">
        <f>IF(ISNUMBER(L375),L375-Assumptions!$B$5,"")</f>
        <v>213</v>
      </c>
      <c r="N375" s="17">
        <f t="shared" si="30"/>
        <v>0</v>
      </c>
      <c r="O375" s="14">
        <f>IF(COUNTIF(Assumptions!$A$25:$A$27,A375)&gt;0,1,0)</f>
        <v>0</v>
      </c>
      <c r="P375" s="14">
        <f>IF(COUNTIF(Assumptions!$B$25:$B$26,A375)&gt;0,1,0)</f>
        <v>0</v>
      </c>
      <c r="Q375" s="14">
        <f>IF(COUNTIF(Assumptions!$C$25:$C$25,A375)&gt;0,1,0)</f>
        <v>0</v>
      </c>
      <c r="R375" s="17">
        <f t="shared" si="31"/>
        <v>0</v>
      </c>
      <c r="S375" s="15" t="str">
        <f>IFERROR(VLOOKUP(A375,Assumptions!$A$31:$B$33,2,0),"")</f>
        <v/>
      </c>
      <c r="T375" s="15">
        <f t="shared" si="32"/>
        <v>13.85</v>
      </c>
      <c r="U375" s="15">
        <f t="shared" si="33"/>
        <v>62809.75</v>
      </c>
      <c r="V375" s="15">
        <f t="shared" si="34"/>
        <v>62809.75</v>
      </c>
      <c r="W375" s="15">
        <f t="shared" si="35"/>
        <v>0</v>
      </c>
    </row>
    <row r="376" spans="1:23" ht="15" customHeight="1" x14ac:dyDescent="0.2">
      <c r="A376" s="14" t="s">
        <v>2599</v>
      </c>
      <c r="B376" s="14" t="s">
        <v>2600</v>
      </c>
      <c r="C376" s="14" t="s">
        <v>1426</v>
      </c>
      <c r="D376" s="14" t="s">
        <v>44</v>
      </c>
      <c r="E376" s="14" t="s">
        <v>1993</v>
      </c>
      <c r="F376" s="14">
        <v>4587</v>
      </c>
      <c r="G376" s="15">
        <v>44.64</v>
      </c>
      <c r="H376" s="16">
        <v>45980</v>
      </c>
      <c r="I376" s="16">
        <v>46071</v>
      </c>
      <c r="J376" s="16">
        <v>46617</v>
      </c>
      <c r="K376" s="14" t="s">
        <v>1989</v>
      </c>
      <c r="L376" s="16">
        <f>IF(D376="Packaging","",IF(ISNUMBER(J376),J376,IF(ISNUMBER(I376),EDATE(I376,VLOOKUP(D376,Assumptions!$A$10:$B$16,2,0)),"")))</f>
        <v>46617</v>
      </c>
      <c r="M376" s="14">
        <f>IF(ISNUMBER(L376),L376-Assumptions!$B$5,"")</f>
        <v>595</v>
      </c>
      <c r="N376" s="17">
        <f t="shared" si="30"/>
        <v>0</v>
      </c>
      <c r="O376" s="14">
        <f>IF(COUNTIF(Assumptions!$A$25:$A$27,A376)&gt;0,1,0)</f>
        <v>0</v>
      </c>
      <c r="P376" s="14">
        <f>IF(COUNTIF(Assumptions!$B$25:$B$26,A376)&gt;0,1,0)</f>
        <v>0</v>
      </c>
      <c r="Q376" s="14">
        <f>IF(COUNTIF(Assumptions!$C$25:$C$25,A376)&gt;0,1,0)</f>
        <v>0</v>
      </c>
      <c r="R376" s="17">
        <f t="shared" si="31"/>
        <v>0</v>
      </c>
      <c r="S376" s="15" t="str">
        <f>IFERROR(VLOOKUP(A376,Assumptions!$A$31:$B$33,2,0),"")</f>
        <v/>
      </c>
      <c r="T376" s="15">
        <f t="shared" si="32"/>
        <v>44.64</v>
      </c>
      <c r="U376" s="15">
        <f t="shared" si="33"/>
        <v>204763.68</v>
      </c>
      <c r="V376" s="15">
        <f t="shared" si="34"/>
        <v>204763.68</v>
      </c>
      <c r="W376" s="15">
        <f t="shared" si="35"/>
        <v>0</v>
      </c>
    </row>
    <row r="377" spans="1:23" ht="15" customHeight="1" x14ac:dyDescent="0.2">
      <c r="A377" s="14" t="s">
        <v>2601</v>
      </c>
      <c r="B377" s="14" t="s">
        <v>2602</v>
      </c>
      <c r="C377" s="14" t="s">
        <v>2101</v>
      </c>
      <c r="D377" s="14" t="s">
        <v>46</v>
      </c>
      <c r="E377" s="14" t="s">
        <v>1993</v>
      </c>
      <c r="F377" s="14">
        <v>3495</v>
      </c>
      <c r="G377" s="15">
        <v>210.84</v>
      </c>
      <c r="H377" s="16">
        <v>45991</v>
      </c>
      <c r="I377" s="16">
        <v>46576</v>
      </c>
      <c r="J377" s="16"/>
      <c r="K377" s="14" t="s">
        <v>2015</v>
      </c>
      <c r="L377" s="16">
        <f>IF(D377="Packaging","",IF(ISNUMBER(J377),J377,IF(ISNUMBER(I377),EDATE(I377,VLOOKUP(D377,Assumptions!$A$10:$B$16,2,0)),"")))</f>
        <v>46851</v>
      </c>
      <c r="M377" s="14">
        <f>IF(ISNUMBER(L377),L377-Assumptions!$B$5,"")</f>
        <v>829</v>
      </c>
      <c r="N377" s="17">
        <f t="shared" si="30"/>
        <v>0</v>
      </c>
      <c r="O377" s="14">
        <f>IF(COUNTIF(Assumptions!$A$25:$A$27,A377)&gt;0,1,0)</f>
        <v>0</v>
      </c>
      <c r="P377" s="14">
        <f>IF(COUNTIF(Assumptions!$B$25:$B$26,A377)&gt;0,1,0)</f>
        <v>0</v>
      </c>
      <c r="Q377" s="14">
        <f>IF(COUNTIF(Assumptions!$C$25:$C$25,A377)&gt;0,1,0)</f>
        <v>0</v>
      </c>
      <c r="R377" s="17">
        <f t="shared" si="31"/>
        <v>0</v>
      </c>
      <c r="S377" s="15" t="str">
        <f>IFERROR(VLOOKUP(A377,Assumptions!$A$31:$B$33,2,0),"")</f>
        <v/>
      </c>
      <c r="T377" s="15">
        <f t="shared" si="32"/>
        <v>210.84</v>
      </c>
      <c r="U377" s="15">
        <f t="shared" si="33"/>
        <v>736885.8</v>
      </c>
      <c r="V377" s="15">
        <f t="shared" si="34"/>
        <v>736885.8</v>
      </c>
      <c r="W377" s="15">
        <f t="shared" si="35"/>
        <v>0</v>
      </c>
    </row>
    <row r="378" spans="1:23" ht="15" customHeight="1" x14ac:dyDescent="0.2">
      <c r="A378" s="14" t="s">
        <v>2603</v>
      </c>
      <c r="B378" s="14" t="s">
        <v>2604</v>
      </c>
      <c r="C378" s="14" t="s">
        <v>1997</v>
      </c>
      <c r="D378" s="14" t="s">
        <v>45</v>
      </c>
      <c r="E378" s="14" t="s">
        <v>2037</v>
      </c>
      <c r="F378" s="14">
        <v>4291</v>
      </c>
      <c r="G378" s="15">
        <v>54.46</v>
      </c>
      <c r="H378" s="16">
        <v>45965</v>
      </c>
      <c r="I378" s="16">
        <v>46658</v>
      </c>
      <c r="J378" s="16"/>
      <c r="K378" s="14" t="s">
        <v>2015</v>
      </c>
      <c r="L378" s="16">
        <f>IF(D378="Packaging","",IF(ISNUMBER(J378),J378,IF(ISNUMBER(I378),EDATE(I378,VLOOKUP(D378,Assumptions!$A$10:$B$16,2,0)),"")))</f>
        <v>46840</v>
      </c>
      <c r="M378" s="14">
        <f>IF(ISNUMBER(L378),L378-Assumptions!$B$5,"")</f>
        <v>818</v>
      </c>
      <c r="N378" s="17">
        <f t="shared" si="30"/>
        <v>0</v>
      </c>
      <c r="O378" s="14">
        <f>IF(COUNTIF(Assumptions!$A$25:$A$27,A378)&gt;0,1,0)</f>
        <v>0</v>
      </c>
      <c r="P378" s="14">
        <f>IF(COUNTIF(Assumptions!$B$25:$B$26,A378)&gt;0,1,0)</f>
        <v>0</v>
      </c>
      <c r="Q378" s="14">
        <f>IF(COUNTIF(Assumptions!$C$25:$C$25,A378)&gt;0,1,0)</f>
        <v>0</v>
      </c>
      <c r="R378" s="17">
        <f t="shared" si="31"/>
        <v>0</v>
      </c>
      <c r="S378" s="15" t="str">
        <f>IFERROR(VLOOKUP(A378,Assumptions!$A$31:$B$33,2,0),"")</f>
        <v/>
      </c>
      <c r="T378" s="15">
        <f t="shared" si="32"/>
        <v>54.46</v>
      </c>
      <c r="U378" s="15">
        <f t="shared" si="33"/>
        <v>233687.86000000002</v>
      </c>
      <c r="V378" s="15">
        <f t="shared" si="34"/>
        <v>233687.86000000002</v>
      </c>
      <c r="W378" s="15">
        <f t="shared" si="35"/>
        <v>0</v>
      </c>
    </row>
    <row r="379" spans="1:23" ht="15" customHeight="1" x14ac:dyDescent="0.2">
      <c r="A379" s="14" t="s">
        <v>2605</v>
      </c>
      <c r="B379" s="14" t="s">
        <v>2606</v>
      </c>
      <c r="C379" s="14" t="s">
        <v>2003</v>
      </c>
      <c r="D379" s="14" t="s">
        <v>46</v>
      </c>
      <c r="E379" s="14" t="s">
        <v>1988</v>
      </c>
      <c r="F379" s="14">
        <v>4707</v>
      </c>
      <c r="G379" s="15">
        <v>321.43</v>
      </c>
      <c r="H379" s="16">
        <v>46003</v>
      </c>
      <c r="I379" s="16">
        <v>46202</v>
      </c>
      <c r="J379" s="16">
        <v>46475</v>
      </c>
      <c r="K379" s="14" t="s">
        <v>2021</v>
      </c>
      <c r="L379" s="16">
        <f>IF(D379="Packaging","",IF(ISNUMBER(J379),J379,IF(ISNUMBER(I379),EDATE(I379,VLOOKUP(D379,Assumptions!$A$10:$B$16,2,0)),"")))</f>
        <v>46475</v>
      </c>
      <c r="M379" s="14">
        <f>IF(ISNUMBER(L379),L379-Assumptions!$B$5,"")</f>
        <v>453</v>
      </c>
      <c r="N379" s="17">
        <f t="shared" si="30"/>
        <v>0</v>
      </c>
      <c r="O379" s="14">
        <f>IF(COUNTIF(Assumptions!$A$25:$A$27,A379)&gt;0,1,0)</f>
        <v>0</v>
      </c>
      <c r="P379" s="14">
        <f>IF(COUNTIF(Assumptions!$B$25:$B$26,A379)&gt;0,1,0)</f>
        <v>0</v>
      </c>
      <c r="Q379" s="14">
        <f>IF(COUNTIF(Assumptions!$C$25:$C$25,A379)&gt;0,1,0)</f>
        <v>0</v>
      </c>
      <c r="R379" s="17">
        <f t="shared" si="31"/>
        <v>0</v>
      </c>
      <c r="S379" s="15" t="str">
        <f>IFERROR(VLOOKUP(A379,Assumptions!$A$31:$B$33,2,0),"")</f>
        <v/>
      </c>
      <c r="T379" s="15">
        <f t="shared" si="32"/>
        <v>321.43</v>
      </c>
      <c r="U379" s="15">
        <f t="shared" si="33"/>
        <v>1512971.01</v>
      </c>
      <c r="V379" s="15">
        <f t="shared" si="34"/>
        <v>1512971.01</v>
      </c>
      <c r="W379" s="15">
        <f t="shared" si="35"/>
        <v>0</v>
      </c>
    </row>
    <row r="380" spans="1:23" ht="15" customHeight="1" x14ac:dyDescent="0.2">
      <c r="A380" s="14" t="s">
        <v>2607</v>
      </c>
      <c r="B380" s="14" t="s">
        <v>2608</v>
      </c>
      <c r="C380" s="14" t="s">
        <v>2007</v>
      </c>
      <c r="D380" s="14" t="s">
        <v>47</v>
      </c>
      <c r="E380" s="14" t="s">
        <v>1993</v>
      </c>
      <c r="F380" s="14">
        <v>2983</v>
      </c>
      <c r="G380" s="15">
        <v>37.21</v>
      </c>
      <c r="H380" s="16">
        <v>45996</v>
      </c>
      <c r="I380" s="16">
        <v>45907</v>
      </c>
      <c r="J380" s="16"/>
      <c r="K380" s="14" t="s">
        <v>1994</v>
      </c>
      <c r="L380" s="16" t="str">
        <f>IF(D380="Packaging","",IF(ISNUMBER(J380),J380,IF(ISNUMBER(I380),EDATE(I380,VLOOKUP(D380,Assumptions!$A$10:$B$16,2,0)),"")))</f>
        <v/>
      </c>
      <c r="M380" s="14" t="str">
        <f>IF(ISNUMBER(L380),L380-Assumptions!$B$5,"")</f>
        <v/>
      </c>
      <c r="N380" s="17">
        <f t="shared" si="30"/>
        <v>0</v>
      </c>
      <c r="O380" s="14">
        <f>IF(COUNTIF(Assumptions!$A$25:$A$27,A380)&gt;0,1,0)</f>
        <v>0</v>
      </c>
      <c r="P380" s="14">
        <f>IF(COUNTIF(Assumptions!$B$25:$B$26,A380)&gt;0,1,0)</f>
        <v>0</v>
      </c>
      <c r="Q380" s="14">
        <f>IF(COUNTIF(Assumptions!$C$25:$C$25,A380)&gt;0,1,0)</f>
        <v>0</v>
      </c>
      <c r="R380" s="17">
        <f t="shared" si="31"/>
        <v>0</v>
      </c>
      <c r="S380" s="15" t="str">
        <f>IFERROR(VLOOKUP(A380,Assumptions!$A$31:$B$33,2,0),"")</f>
        <v/>
      </c>
      <c r="T380" s="15">
        <f t="shared" si="32"/>
        <v>37.21</v>
      </c>
      <c r="U380" s="15">
        <f t="shared" si="33"/>
        <v>110997.43000000001</v>
      </c>
      <c r="V380" s="15">
        <f t="shared" si="34"/>
        <v>110997.43000000001</v>
      </c>
      <c r="W380" s="15">
        <f t="shared" si="35"/>
        <v>0</v>
      </c>
    </row>
    <row r="381" spans="1:23" ht="15" customHeight="1" x14ac:dyDescent="0.2">
      <c r="A381" s="14" t="s">
        <v>2609</v>
      </c>
      <c r="B381" s="14" t="s">
        <v>2610</v>
      </c>
      <c r="C381" s="14" t="s">
        <v>2137</v>
      </c>
      <c r="D381" s="14" t="s">
        <v>36</v>
      </c>
      <c r="E381" s="14" t="s">
        <v>1988</v>
      </c>
      <c r="F381" s="14">
        <v>446</v>
      </c>
      <c r="G381" s="15">
        <v>90.32</v>
      </c>
      <c r="H381" s="16">
        <v>46007</v>
      </c>
      <c r="I381" s="16">
        <v>46088</v>
      </c>
      <c r="J381" s="16">
        <v>46819</v>
      </c>
      <c r="K381" s="14" t="s">
        <v>2021</v>
      </c>
      <c r="L381" s="16">
        <f>IF(D381="Packaging","",IF(ISNUMBER(J381),J381,IF(ISNUMBER(I381),EDATE(I381,VLOOKUP(D381,Assumptions!$A$10:$B$16,2,0)),"")))</f>
        <v>46819</v>
      </c>
      <c r="M381" s="14">
        <f>IF(ISNUMBER(L381),L381-Assumptions!$B$5,"")</f>
        <v>797</v>
      </c>
      <c r="N381" s="17">
        <f t="shared" si="30"/>
        <v>0</v>
      </c>
      <c r="O381" s="14">
        <f>IF(COUNTIF(Assumptions!$A$25:$A$27,A381)&gt;0,1,0)</f>
        <v>0</v>
      </c>
      <c r="P381" s="14">
        <f>IF(COUNTIF(Assumptions!$B$25:$B$26,A381)&gt;0,1,0)</f>
        <v>0</v>
      </c>
      <c r="Q381" s="14">
        <f>IF(COUNTIF(Assumptions!$C$25:$C$25,A381)&gt;0,1,0)</f>
        <v>0</v>
      </c>
      <c r="R381" s="17">
        <f t="shared" si="31"/>
        <v>0</v>
      </c>
      <c r="S381" s="15" t="str">
        <f>IFERROR(VLOOKUP(A381,Assumptions!$A$31:$B$33,2,0),"")</f>
        <v/>
      </c>
      <c r="T381" s="15">
        <f t="shared" si="32"/>
        <v>90.32</v>
      </c>
      <c r="U381" s="15">
        <f t="shared" si="33"/>
        <v>40282.719999999994</v>
      </c>
      <c r="V381" s="15">
        <f t="shared" si="34"/>
        <v>40282.719999999994</v>
      </c>
      <c r="W381" s="15">
        <f t="shared" si="35"/>
        <v>0</v>
      </c>
    </row>
    <row r="382" spans="1:23" ht="15" customHeight="1" x14ac:dyDescent="0.2">
      <c r="A382" s="14" t="s">
        <v>975</v>
      </c>
      <c r="B382" s="14" t="s">
        <v>974</v>
      </c>
      <c r="C382" s="14" t="s">
        <v>2043</v>
      </c>
      <c r="D382" s="14" t="s">
        <v>39</v>
      </c>
      <c r="E382" s="14" t="s">
        <v>1993</v>
      </c>
      <c r="F382" s="14">
        <v>3193</v>
      </c>
      <c r="G382" s="15">
        <v>392.6</v>
      </c>
      <c r="H382" s="16">
        <v>45333</v>
      </c>
      <c r="I382" s="16">
        <v>45269</v>
      </c>
      <c r="J382" s="16"/>
      <c r="K382" s="14" t="s">
        <v>2030</v>
      </c>
      <c r="L382" s="16">
        <f>IF(D382="Packaging","",IF(ISNUMBER(J382),J382,IF(ISNUMBER(I382),EDATE(I382,VLOOKUP(D382,Assumptions!$A$10:$B$16,2,0)),"")))</f>
        <v>46365</v>
      </c>
      <c r="M382" s="14">
        <f>IF(ISNUMBER(L382),L382-Assumptions!$B$5,"")</f>
        <v>343</v>
      </c>
      <c r="N382" s="17">
        <f t="shared" si="30"/>
        <v>0</v>
      </c>
      <c r="O382" s="14">
        <f>IF(COUNTIF(Assumptions!$A$25:$A$27,A382)&gt;0,1,0)</f>
        <v>0</v>
      </c>
      <c r="P382" s="14">
        <f>IF(COUNTIF(Assumptions!$B$25:$B$26,A382)&gt;0,1,0)</f>
        <v>0</v>
      </c>
      <c r="Q382" s="14">
        <f>IF(COUNTIF(Assumptions!$C$25:$C$25,A382)&gt;0,1,0)</f>
        <v>0</v>
      </c>
      <c r="R382" s="17">
        <f t="shared" si="31"/>
        <v>0</v>
      </c>
      <c r="S382" s="15" t="str">
        <f>IFERROR(VLOOKUP(A382,Assumptions!$A$31:$B$33,2,0),"")</f>
        <v/>
      </c>
      <c r="T382" s="15">
        <f t="shared" si="32"/>
        <v>392.6</v>
      </c>
      <c r="U382" s="15">
        <f t="shared" si="33"/>
        <v>1253571.8</v>
      </c>
      <c r="V382" s="15">
        <f t="shared" si="34"/>
        <v>1253571.8</v>
      </c>
      <c r="W382" s="15">
        <f t="shared" si="35"/>
        <v>0</v>
      </c>
    </row>
    <row r="383" spans="1:23" ht="15" customHeight="1" x14ac:dyDescent="0.2">
      <c r="A383" s="14" t="s">
        <v>2611</v>
      </c>
      <c r="B383" s="14" t="s">
        <v>2612</v>
      </c>
      <c r="C383" s="14" t="s">
        <v>1426</v>
      </c>
      <c r="D383" s="14" t="s">
        <v>44</v>
      </c>
      <c r="E383" s="14" t="s">
        <v>1988</v>
      </c>
      <c r="F383" s="14">
        <v>3103</v>
      </c>
      <c r="G383" s="15">
        <v>287.39</v>
      </c>
      <c r="H383" s="16">
        <v>45978</v>
      </c>
      <c r="I383" s="16">
        <v>46196</v>
      </c>
      <c r="J383" s="16"/>
      <c r="K383" s="14" t="s">
        <v>2052</v>
      </c>
      <c r="L383" s="16">
        <f>IF(D383="Packaging","",IF(ISNUMBER(J383),J383,IF(ISNUMBER(I383),EDATE(I383,VLOOKUP(D383,Assumptions!$A$10:$B$16,2,0)),"")))</f>
        <v>46744</v>
      </c>
      <c r="M383" s="14">
        <f>IF(ISNUMBER(L383),L383-Assumptions!$B$5,"")</f>
        <v>722</v>
      </c>
      <c r="N383" s="17">
        <f t="shared" si="30"/>
        <v>0</v>
      </c>
      <c r="O383" s="14">
        <f>IF(COUNTIF(Assumptions!$A$25:$A$27,A383)&gt;0,1,0)</f>
        <v>0</v>
      </c>
      <c r="P383" s="14">
        <f>IF(COUNTIF(Assumptions!$B$25:$B$26,A383)&gt;0,1,0)</f>
        <v>0</v>
      </c>
      <c r="Q383" s="14">
        <f>IF(COUNTIF(Assumptions!$C$25:$C$25,A383)&gt;0,1,0)</f>
        <v>0</v>
      </c>
      <c r="R383" s="17">
        <f t="shared" si="31"/>
        <v>0</v>
      </c>
      <c r="S383" s="15" t="str">
        <f>IFERROR(VLOOKUP(A383,Assumptions!$A$31:$B$33,2,0),"")</f>
        <v/>
      </c>
      <c r="T383" s="15">
        <f t="shared" si="32"/>
        <v>287.39</v>
      </c>
      <c r="U383" s="15">
        <f t="shared" si="33"/>
        <v>891771.16999999993</v>
      </c>
      <c r="V383" s="15">
        <f t="shared" si="34"/>
        <v>891771.16999999993</v>
      </c>
      <c r="W383" s="15">
        <f t="shared" si="35"/>
        <v>0</v>
      </c>
    </row>
    <row r="384" spans="1:23" ht="15" customHeight="1" x14ac:dyDescent="0.2">
      <c r="A384" s="14" t="s">
        <v>2613</v>
      </c>
      <c r="B384" s="14" t="s">
        <v>2614</v>
      </c>
      <c r="C384" s="14" t="s">
        <v>2089</v>
      </c>
      <c r="D384" s="14" t="s">
        <v>46</v>
      </c>
      <c r="E384" s="14" t="s">
        <v>2037</v>
      </c>
      <c r="F384" s="14">
        <v>3844</v>
      </c>
      <c r="G384" s="15">
        <v>150.88999999999999</v>
      </c>
      <c r="H384" s="16">
        <v>45992</v>
      </c>
      <c r="I384" s="16">
        <v>46455</v>
      </c>
      <c r="J384" s="16"/>
      <c r="K384" s="14" t="s">
        <v>1989</v>
      </c>
      <c r="L384" s="16">
        <f>IF(D384="Packaging","",IF(ISNUMBER(J384),J384,IF(ISNUMBER(I384),EDATE(I384,VLOOKUP(D384,Assumptions!$A$10:$B$16,2,0)),"")))</f>
        <v>46730</v>
      </c>
      <c r="M384" s="14">
        <f>IF(ISNUMBER(L384),L384-Assumptions!$B$5,"")</f>
        <v>708</v>
      </c>
      <c r="N384" s="17">
        <f t="shared" si="30"/>
        <v>0</v>
      </c>
      <c r="O384" s="14">
        <f>IF(COUNTIF(Assumptions!$A$25:$A$27,A384)&gt;0,1,0)</f>
        <v>0</v>
      </c>
      <c r="P384" s="14">
        <f>IF(COUNTIF(Assumptions!$B$25:$B$26,A384)&gt;0,1,0)</f>
        <v>0</v>
      </c>
      <c r="Q384" s="14">
        <f>IF(COUNTIF(Assumptions!$C$25:$C$25,A384)&gt;0,1,0)</f>
        <v>0</v>
      </c>
      <c r="R384" s="17">
        <f t="shared" si="31"/>
        <v>0</v>
      </c>
      <c r="S384" s="15" t="str">
        <f>IFERROR(VLOOKUP(A384,Assumptions!$A$31:$B$33,2,0),"")</f>
        <v/>
      </c>
      <c r="T384" s="15">
        <f t="shared" si="32"/>
        <v>150.88999999999999</v>
      </c>
      <c r="U384" s="15">
        <f t="shared" si="33"/>
        <v>580021.15999999992</v>
      </c>
      <c r="V384" s="15">
        <f t="shared" si="34"/>
        <v>580021.15999999992</v>
      </c>
      <c r="W384" s="15">
        <f t="shared" si="35"/>
        <v>0</v>
      </c>
    </row>
    <row r="385" spans="1:23" ht="15" customHeight="1" x14ac:dyDescent="0.2">
      <c r="A385" s="14" t="s">
        <v>981</v>
      </c>
      <c r="B385" s="14" t="s">
        <v>980</v>
      </c>
      <c r="C385" s="14" t="s">
        <v>2108</v>
      </c>
      <c r="D385" s="14" t="s">
        <v>39</v>
      </c>
      <c r="E385" s="14" t="s">
        <v>1993</v>
      </c>
      <c r="F385" s="14">
        <v>747</v>
      </c>
      <c r="G385" s="15">
        <v>139.52000000000001</v>
      </c>
      <c r="H385" s="16">
        <v>45486</v>
      </c>
      <c r="I385" s="16">
        <v>45426</v>
      </c>
      <c r="J385" s="16">
        <v>46521</v>
      </c>
      <c r="K385" s="14" t="s">
        <v>2052</v>
      </c>
      <c r="L385" s="16">
        <f>IF(D385="Packaging","",IF(ISNUMBER(J385),J385,IF(ISNUMBER(I385),EDATE(I385,VLOOKUP(D385,Assumptions!$A$10:$B$16,2,0)),"")))</f>
        <v>46521</v>
      </c>
      <c r="M385" s="14">
        <f>IF(ISNUMBER(L385),L385-Assumptions!$B$5,"")</f>
        <v>499</v>
      </c>
      <c r="N385" s="17">
        <f t="shared" si="30"/>
        <v>0</v>
      </c>
      <c r="O385" s="14">
        <f>IF(COUNTIF(Assumptions!$A$25:$A$27,A385)&gt;0,1,0)</f>
        <v>0</v>
      </c>
      <c r="P385" s="14">
        <f>IF(COUNTIF(Assumptions!$B$25:$B$26,A385)&gt;0,1,0)</f>
        <v>0</v>
      </c>
      <c r="Q385" s="14">
        <f>IF(COUNTIF(Assumptions!$C$25:$C$25,A385)&gt;0,1,0)</f>
        <v>0</v>
      </c>
      <c r="R385" s="17">
        <f t="shared" si="31"/>
        <v>0</v>
      </c>
      <c r="S385" s="15" t="str">
        <f>IFERROR(VLOOKUP(A385,Assumptions!$A$31:$B$33,2,0),"")</f>
        <v/>
      </c>
      <c r="T385" s="15">
        <f t="shared" si="32"/>
        <v>139.52000000000001</v>
      </c>
      <c r="U385" s="15">
        <f t="shared" si="33"/>
        <v>104221.44</v>
      </c>
      <c r="V385" s="15">
        <f t="shared" si="34"/>
        <v>104221.44</v>
      </c>
      <c r="W385" s="15">
        <f t="shared" si="35"/>
        <v>0</v>
      </c>
    </row>
    <row r="386" spans="1:23" ht="15" customHeight="1" x14ac:dyDescent="0.2">
      <c r="A386" s="14" t="s">
        <v>1017</v>
      </c>
      <c r="B386" s="14" t="s">
        <v>1016</v>
      </c>
      <c r="C386" s="14" t="s">
        <v>2119</v>
      </c>
      <c r="D386" s="14" t="s">
        <v>39</v>
      </c>
      <c r="E386" s="14" t="s">
        <v>1993</v>
      </c>
      <c r="F386" s="14">
        <v>1991</v>
      </c>
      <c r="G386" s="15">
        <v>367.13</v>
      </c>
      <c r="H386" s="16">
        <v>45694</v>
      </c>
      <c r="I386" s="16">
        <v>45642</v>
      </c>
      <c r="J386" s="16"/>
      <c r="K386" s="14" t="s">
        <v>2030</v>
      </c>
      <c r="L386" s="16">
        <f>IF(D386="Packaging","",IF(ISNUMBER(J386),J386,IF(ISNUMBER(I386),EDATE(I386,VLOOKUP(D386,Assumptions!$A$10:$B$16,2,0)),"")))</f>
        <v>46737</v>
      </c>
      <c r="M386" s="14">
        <f>IF(ISNUMBER(L386),L386-Assumptions!$B$5,"")</f>
        <v>715</v>
      </c>
      <c r="N386" s="17">
        <f t="shared" ref="N386:N449" si="36">IF(D386="Packaging",0,IF(NOT(ISNUMBER(L386)),0,IF(M386&lt;0,1,IF(M386&lt;=90,0.5,IF(M386&lt;=180,0.25,0)))))</f>
        <v>0</v>
      </c>
      <c r="O386" s="14">
        <f>IF(COUNTIF(Assumptions!$A$25:$A$27,A386)&gt;0,1,0)</f>
        <v>0</v>
      </c>
      <c r="P386" s="14">
        <f>IF(COUNTIF(Assumptions!$B$25:$B$26,A386)&gt;0,1,0)</f>
        <v>0</v>
      </c>
      <c r="Q386" s="14">
        <f>IF(COUNTIF(Assumptions!$C$25:$C$25,A386)&gt;0,1,0)</f>
        <v>0</v>
      </c>
      <c r="R386" s="17">
        <f t="shared" ref="R386:R449" si="37">IF(OR(O386=1,Q386=1),1,IF(P386=1,0.5,N386))</f>
        <v>0</v>
      </c>
      <c r="S386" s="15" t="str">
        <f>IFERROR(VLOOKUP(A386,Assumptions!$A$31:$B$33,2,0),"")</f>
        <v/>
      </c>
      <c r="T386" s="15">
        <f t="shared" ref="T386:T449" si="38">IF(S386="",G386,MIN(G386,S386))</f>
        <v>367.13</v>
      </c>
      <c r="U386" s="15">
        <f t="shared" ref="U386:U449" si="39">F386*G386</f>
        <v>730955.83</v>
      </c>
      <c r="V386" s="15">
        <f t="shared" ref="V386:V449" si="40">F386*T386*(1-R386)</f>
        <v>730955.83</v>
      </c>
      <c r="W386" s="15">
        <f t="shared" ref="W386:W449" si="41">U386-V386</f>
        <v>0</v>
      </c>
    </row>
    <row r="387" spans="1:23" ht="15" customHeight="1" x14ac:dyDescent="0.2">
      <c r="A387" s="14" t="s">
        <v>2615</v>
      </c>
      <c r="B387" s="14" t="s">
        <v>2616</v>
      </c>
      <c r="C387" s="14" t="s">
        <v>1426</v>
      </c>
      <c r="D387" s="14" t="s">
        <v>44</v>
      </c>
      <c r="E387" s="14" t="s">
        <v>2037</v>
      </c>
      <c r="F387" s="14">
        <v>1779</v>
      </c>
      <c r="G387" s="15">
        <v>415.38</v>
      </c>
      <c r="H387" s="16">
        <v>45954</v>
      </c>
      <c r="I387" s="16">
        <v>45923</v>
      </c>
      <c r="J387" s="16">
        <v>46469</v>
      </c>
      <c r="K387" s="14" t="s">
        <v>2052</v>
      </c>
      <c r="L387" s="16">
        <f>IF(D387="Packaging","",IF(ISNUMBER(J387),J387,IF(ISNUMBER(I387),EDATE(I387,VLOOKUP(D387,Assumptions!$A$10:$B$16,2,0)),"")))</f>
        <v>46469</v>
      </c>
      <c r="M387" s="14">
        <f>IF(ISNUMBER(L387),L387-Assumptions!$B$5,"")</f>
        <v>447</v>
      </c>
      <c r="N387" s="17">
        <f t="shared" si="36"/>
        <v>0</v>
      </c>
      <c r="O387" s="14">
        <f>IF(COUNTIF(Assumptions!$A$25:$A$27,A387)&gt;0,1,0)</f>
        <v>0</v>
      </c>
      <c r="P387" s="14">
        <f>IF(COUNTIF(Assumptions!$B$25:$B$26,A387)&gt;0,1,0)</f>
        <v>0</v>
      </c>
      <c r="Q387" s="14">
        <f>IF(COUNTIF(Assumptions!$C$25:$C$25,A387)&gt;0,1,0)</f>
        <v>0</v>
      </c>
      <c r="R387" s="17">
        <f t="shared" si="37"/>
        <v>0</v>
      </c>
      <c r="S387" s="15" t="str">
        <f>IFERROR(VLOOKUP(A387,Assumptions!$A$31:$B$33,2,0),"")</f>
        <v/>
      </c>
      <c r="T387" s="15">
        <f t="shared" si="38"/>
        <v>415.38</v>
      </c>
      <c r="U387" s="15">
        <f t="shared" si="39"/>
        <v>738961.02</v>
      </c>
      <c r="V387" s="15">
        <f t="shared" si="40"/>
        <v>738961.02</v>
      </c>
      <c r="W387" s="15">
        <f t="shared" si="41"/>
        <v>0</v>
      </c>
    </row>
    <row r="388" spans="1:23" ht="15" customHeight="1" x14ac:dyDescent="0.2">
      <c r="A388" s="14" t="s">
        <v>2617</v>
      </c>
      <c r="B388" s="14" t="s">
        <v>2618</v>
      </c>
      <c r="C388" s="14" t="s">
        <v>2089</v>
      </c>
      <c r="D388" s="14" t="s">
        <v>46</v>
      </c>
      <c r="E388" s="14" t="s">
        <v>1993</v>
      </c>
      <c r="F388" s="14">
        <v>191</v>
      </c>
      <c r="G388" s="15">
        <v>176.94</v>
      </c>
      <c r="H388" s="16">
        <v>45978</v>
      </c>
      <c r="I388" s="16">
        <v>46074</v>
      </c>
      <c r="J388" s="16"/>
      <c r="K388" s="14" t="s">
        <v>1994</v>
      </c>
      <c r="L388" s="16">
        <f>IF(D388="Packaging","",IF(ISNUMBER(J388),J388,IF(ISNUMBER(I388),EDATE(I388,VLOOKUP(D388,Assumptions!$A$10:$B$16,2,0)),"")))</f>
        <v>46347</v>
      </c>
      <c r="M388" s="14">
        <f>IF(ISNUMBER(L388),L388-Assumptions!$B$5,"")</f>
        <v>325</v>
      </c>
      <c r="N388" s="17">
        <f t="shared" si="36"/>
        <v>0</v>
      </c>
      <c r="O388" s="14">
        <f>IF(COUNTIF(Assumptions!$A$25:$A$27,A388)&gt;0,1,0)</f>
        <v>0</v>
      </c>
      <c r="P388" s="14">
        <f>IF(COUNTIF(Assumptions!$B$25:$B$26,A388)&gt;0,1,0)</f>
        <v>0</v>
      </c>
      <c r="Q388" s="14">
        <f>IF(COUNTIF(Assumptions!$C$25:$C$25,A388)&gt;0,1,0)</f>
        <v>0</v>
      </c>
      <c r="R388" s="17">
        <f t="shared" si="37"/>
        <v>0</v>
      </c>
      <c r="S388" s="15" t="str">
        <f>IFERROR(VLOOKUP(A388,Assumptions!$A$31:$B$33,2,0),"")</f>
        <v/>
      </c>
      <c r="T388" s="15">
        <f t="shared" si="38"/>
        <v>176.94</v>
      </c>
      <c r="U388" s="15">
        <f t="shared" si="39"/>
        <v>33795.54</v>
      </c>
      <c r="V388" s="15">
        <f t="shared" si="40"/>
        <v>33795.54</v>
      </c>
      <c r="W388" s="15">
        <f t="shared" si="41"/>
        <v>0</v>
      </c>
    </row>
    <row r="389" spans="1:23" ht="15" customHeight="1" x14ac:dyDescent="0.2">
      <c r="A389" s="14" t="s">
        <v>2619</v>
      </c>
      <c r="B389" s="14" t="s">
        <v>2620</v>
      </c>
      <c r="C389" s="14" t="s">
        <v>2219</v>
      </c>
      <c r="D389" s="14" t="s">
        <v>42</v>
      </c>
      <c r="E389" s="14" t="s">
        <v>2037</v>
      </c>
      <c r="F389" s="14">
        <v>1182</v>
      </c>
      <c r="G389" s="15">
        <v>17.13</v>
      </c>
      <c r="H389" s="16">
        <v>46007</v>
      </c>
      <c r="I389" s="16">
        <v>45982</v>
      </c>
      <c r="J389" s="16">
        <v>46347</v>
      </c>
      <c r="K389" s="14" t="s">
        <v>2052</v>
      </c>
      <c r="L389" s="16">
        <f>IF(D389="Packaging","",IF(ISNUMBER(J389),J389,IF(ISNUMBER(I389),EDATE(I389,VLOOKUP(D389,Assumptions!$A$10:$B$16,2,0)),"")))</f>
        <v>46347</v>
      </c>
      <c r="M389" s="14">
        <f>IF(ISNUMBER(L389),L389-Assumptions!$B$5,"")</f>
        <v>325</v>
      </c>
      <c r="N389" s="17">
        <f t="shared" si="36"/>
        <v>0</v>
      </c>
      <c r="O389" s="14">
        <f>IF(COUNTIF(Assumptions!$A$25:$A$27,A389)&gt;0,1,0)</f>
        <v>0</v>
      </c>
      <c r="P389" s="14">
        <f>IF(COUNTIF(Assumptions!$B$25:$B$26,A389)&gt;0,1,0)</f>
        <v>0</v>
      </c>
      <c r="Q389" s="14">
        <f>IF(COUNTIF(Assumptions!$C$25:$C$25,A389)&gt;0,1,0)</f>
        <v>0</v>
      </c>
      <c r="R389" s="17">
        <f t="shared" si="37"/>
        <v>0</v>
      </c>
      <c r="S389" s="15" t="str">
        <f>IFERROR(VLOOKUP(A389,Assumptions!$A$31:$B$33,2,0),"")</f>
        <v/>
      </c>
      <c r="T389" s="15">
        <f t="shared" si="38"/>
        <v>17.13</v>
      </c>
      <c r="U389" s="15">
        <f t="shared" si="39"/>
        <v>20247.66</v>
      </c>
      <c r="V389" s="15">
        <f t="shared" si="40"/>
        <v>20247.66</v>
      </c>
      <c r="W389" s="15">
        <f t="shared" si="41"/>
        <v>0</v>
      </c>
    </row>
    <row r="390" spans="1:23" ht="15" customHeight="1" x14ac:dyDescent="0.2">
      <c r="A390" s="14" t="s">
        <v>1021</v>
      </c>
      <c r="B390" s="14" t="s">
        <v>1020</v>
      </c>
      <c r="C390" s="14" t="s">
        <v>2022</v>
      </c>
      <c r="D390" s="14" t="s">
        <v>39</v>
      </c>
      <c r="E390" s="14" t="s">
        <v>1988</v>
      </c>
      <c r="F390" s="14">
        <v>3338</v>
      </c>
      <c r="G390" s="15">
        <v>217.11</v>
      </c>
      <c r="H390" s="16">
        <v>45403</v>
      </c>
      <c r="I390" s="16">
        <v>45339</v>
      </c>
      <c r="J390" s="16"/>
      <c r="K390" s="14" t="s">
        <v>1994</v>
      </c>
      <c r="L390" s="16">
        <f>IF(D390="Packaging","",IF(ISNUMBER(J390),J390,IF(ISNUMBER(I390),EDATE(I390,VLOOKUP(D390,Assumptions!$A$10:$B$16,2,0)),"")))</f>
        <v>46435</v>
      </c>
      <c r="M390" s="14">
        <f>IF(ISNUMBER(L390),L390-Assumptions!$B$5,"")</f>
        <v>413</v>
      </c>
      <c r="N390" s="17">
        <f t="shared" si="36"/>
        <v>0</v>
      </c>
      <c r="O390" s="14">
        <f>IF(COUNTIF(Assumptions!$A$25:$A$27,A390)&gt;0,1,0)</f>
        <v>0</v>
      </c>
      <c r="P390" s="14">
        <f>IF(COUNTIF(Assumptions!$B$25:$B$26,A390)&gt;0,1,0)</f>
        <v>0</v>
      </c>
      <c r="Q390" s="14">
        <f>IF(COUNTIF(Assumptions!$C$25:$C$25,A390)&gt;0,1,0)</f>
        <v>0</v>
      </c>
      <c r="R390" s="17">
        <f t="shared" si="37"/>
        <v>0</v>
      </c>
      <c r="S390" s="15" t="str">
        <f>IFERROR(VLOOKUP(A390,Assumptions!$A$31:$B$33,2,0),"")</f>
        <v/>
      </c>
      <c r="T390" s="15">
        <f t="shared" si="38"/>
        <v>217.11</v>
      </c>
      <c r="U390" s="15">
        <f t="shared" si="39"/>
        <v>724713.18</v>
      </c>
      <c r="V390" s="15">
        <f t="shared" si="40"/>
        <v>724713.18</v>
      </c>
      <c r="W390" s="15">
        <f t="shared" si="41"/>
        <v>0</v>
      </c>
    </row>
    <row r="391" spans="1:23" ht="15" customHeight="1" x14ac:dyDescent="0.2">
      <c r="A391" s="14" t="s">
        <v>230</v>
      </c>
      <c r="B391" s="14" t="s">
        <v>229</v>
      </c>
      <c r="C391" s="14" t="s">
        <v>2061</v>
      </c>
      <c r="D391" s="14" t="s">
        <v>44</v>
      </c>
      <c r="E391" s="14" t="s">
        <v>1988</v>
      </c>
      <c r="F391" s="14">
        <v>1645</v>
      </c>
      <c r="G391" s="15">
        <v>119.84</v>
      </c>
      <c r="H391" s="16">
        <v>45778</v>
      </c>
      <c r="I391" s="16">
        <v>45731</v>
      </c>
      <c r="J391" s="16"/>
      <c r="K391" s="14" t="s">
        <v>2015</v>
      </c>
      <c r="L391" s="16">
        <f>IF(D391="Packaging","",IF(ISNUMBER(J391),J391,IF(ISNUMBER(I391),EDATE(I391,VLOOKUP(D391,Assumptions!$A$10:$B$16,2,0)),"")))</f>
        <v>46280</v>
      </c>
      <c r="M391" s="14">
        <f>IF(ISNUMBER(L391),L391-Assumptions!$B$5,"")</f>
        <v>258</v>
      </c>
      <c r="N391" s="17">
        <f t="shared" si="36"/>
        <v>0</v>
      </c>
      <c r="O391" s="14">
        <f>IF(COUNTIF(Assumptions!$A$25:$A$27,A391)&gt;0,1,0)</f>
        <v>0</v>
      </c>
      <c r="P391" s="14">
        <f>IF(COUNTIF(Assumptions!$B$25:$B$26,A391)&gt;0,1,0)</f>
        <v>0</v>
      </c>
      <c r="Q391" s="14">
        <f>IF(COUNTIF(Assumptions!$C$25:$C$25,A391)&gt;0,1,0)</f>
        <v>0</v>
      </c>
      <c r="R391" s="17">
        <f t="shared" si="37"/>
        <v>0</v>
      </c>
      <c r="S391" s="15" t="str">
        <f>IFERROR(VLOOKUP(A391,Assumptions!$A$31:$B$33,2,0),"")</f>
        <v/>
      </c>
      <c r="T391" s="15">
        <f t="shared" si="38"/>
        <v>119.84</v>
      </c>
      <c r="U391" s="15">
        <f t="shared" si="39"/>
        <v>197136.80000000002</v>
      </c>
      <c r="V391" s="15">
        <f t="shared" si="40"/>
        <v>197136.80000000002</v>
      </c>
      <c r="W391" s="15">
        <f t="shared" si="41"/>
        <v>0</v>
      </c>
    </row>
    <row r="392" spans="1:23" ht="15" customHeight="1" x14ac:dyDescent="0.2">
      <c r="A392" s="14" t="s">
        <v>2621</v>
      </c>
      <c r="B392" s="14" t="s">
        <v>2622</v>
      </c>
      <c r="C392" s="14" t="s">
        <v>2219</v>
      </c>
      <c r="D392" s="14" t="s">
        <v>42</v>
      </c>
      <c r="E392" s="14" t="s">
        <v>2037</v>
      </c>
      <c r="F392" s="14">
        <v>4012</v>
      </c>
      <c r="G392" s="15">
        <v>171.89</v>
      </c>
      <c r="H392" s="16">
        <v>45971</v>
      </c>
      <c r="I392" s="16">
        <v>46045</v>
      </c>
      <c r="J392" s="16"/>
      <c r="K392" s="14" t="s">
        <v>2004</v>
      </c>
      <c r="L392" s="16">
        <f>IF(D392="Packaging","",IF(ISNUMBER(J392),J392,IF(ISNUMBER(I392),EDATE(I392,VLOOKUP(D392,Assumptions!$A$10:$B$16,2,0)),"")))</f>
        <v>46410</v>
      </c>
      <c r="M392" s="14">
        <f>IF(ISNUMBER(L392),L392-Assumptions!$B$5,"")</f>
        <v>388</v>
      </c>
      <c r="N392" s="17">
        <f t="shared" si="36"/>
        <v>0</v>
      </c>
      <c r="O392" s="14">
        <f>IF(COUNTIF(Assumptions!$A$25:$A$27,A392)&gt;0,1,0)</f>
        <v>0</v>
      </c>
      <c r="P392" s="14">
        <f>IF(COUNTIF(Assumptions!$B$25:$B$26,A392)&gt;0,1,0)</f>
        <v>0</v>
      </c>
      <c r="Q392" s="14">
        <f>IF(COUNTIF(Assumptions!$C$25:$C$25,A392)&gt;0,1,0)</f>
        <v>0</v>
      </c>
      <c r="R392" s="17">
        <f t="shared" si="37"/>
        <v>0</v>
      </c>
      <c r="S392" s="15" t="str">
        <f>IFERROR(VLOOKUP(A392,Assumptions!$A$31:$B$33,2,0),"")</f>
        <v/>
      </c>
      <c r="T392" s="15">
        <f t="shared" si="38"/>
        <v>171.89</v>
      </c>
      <c r="U392" s="15">
        <f t="shared" si="39"/>
        <v>689622.67999999993</v>
      </c>
      <c r="V392" s="15">
        <f t="shared" si="40"/>
        <v>689622.67999999993</v>
      </c>
      <c r="W392" s="15">
        <f t="shared" si="41"/>
        <v>0</v>
      </c>
    </row>
    <row r="393" spans="1:23" ht="15" customHeight="1" x14ac:dyDescent="0.2">
      <c r="A393" s="14" t="s">
        <v>234</v>
      </c>
      <c r="B393" s="14" t="s">
        <v>233</v>
      </c>
      <c r="C393" s="14" t="s">
        <v>2061</v>
      </c>
      <c r="D393" s="14" t="s">
        <v>44</v>
      </c>
      <c r="E393" s="14" t="s">
        <v>1988</v>
      </c>
      <c r="F393" s="14">
        <v>4086</v>
      </c>
      <c r="G393" s="15">
        <v>121.1</v>
      </c>
      <c r="H393" s="16">
        <v>45851</v>
      </c>
      <c r="I393" s="16">
        <v>45767</v>
      </c>
      <c r="J393" s="16"/>
      <c r="K393" s="14" t="s">
        <v>2015</v>
      </c>
      <c r="L393" s="16">
        <f>IF(D393="Packaging","",IF(ISNUMBER(J393),J393,IF(ISNUMBER(I393),EDATE(I393,VLOOKUP(D393,Assumptions!$A$10:$B$16,2,0)),"")))</f>
        <v>46315</v>
      </c>
      <c r="M393" s="14">
        <f>IF(ISNUMBER(L393),L393-Assumptions!$B$5,"")</f>
        <v>293</v>
      </c>
      <c r="N393" s="17">
        <f t="shared" si="36"/>
        <v>0</v>
      </c>
      <c r="O393" s="14">
        <f>IF(COUNTIF(Assumptions!$A$25:$A$27,A393)&gt;0,1,0)</f>
        <v>0</v>
      </c>
      <c r="P393" s="14">
        <f>IF(COUNTIF(Assumptions!$B$25:$B$26,A393)&gt;0,1,0)</f>
        <v>0</v>
      </c>
      <c r="Q393" s="14">
        <f>IF(COUNTIF(Assumptions!$C$25:$C$25,A393)&gt;0,1,0)</f>
        <v>0</v>
      </c>
      <c r="R393" s="17">
        <f t="shared" si="37"/>
        <v>0</v>
      </c>
      <c r="S393" s="15" t="str">
        <f>IFERROR(VLOOKUP(A393,Assumptions!$A$31:$B$33,2,0),"")</f>
        <v/>
      </c>
      <c r="T393" s="15">
        <f t="shared" si="38"/>
        <v>121.1</v>
      </c>
      <c r="U393" s="15">
        <f t="shared" si="39"/>
        <v>494814.6</v>
      </c>
      <c r="V393" s="15">
        <f t="shared" si="40"/>
        <v>494814.6</v>
      </c>
      <c r="W393" s="15">
        <f t="shared" si="41"/>
        <v>0</v>
      </c>
    </row>
    <row r="394" spans="1:23" ht="15" customHeight="1" x14ac:dyDescent="0.2">
      <c r="A394" s="14" t="s">
        <v>263</v>
      </c>
      <c r="B394" s="14" t="s">
        <v>262</v>
      </c>
      <c r="C394" s="14" t="s">
        <v>2142</v>
      </c>
      <c r="D394" s="14" t="s">
        <v>44</v>
      </c>
      <c r="E394" s="14" t="s">
        <v>1993</v>
      </c>
      <c r="F394" s="14">
        <v>257</v>
      </c>
      <c r="G394" s="15">
        <v>313.91000000000003</v>
      </c>
      <c r="H394" s="16">
        <v>45902</v>
      </c>
      <c r="I394" s="16">
        <v>45840</v>
      </c>
      <c r="J394" s="16"/>
      <c r="K394" s="14" t="s">
        <v>2004</v>
      </c>
      <c r="L394" s="16">
        <f>IF(D394="Packaging","",IF(ISNUMBER(J394),J394,IF(ISNUMBER(I394),EDATE(I394,VLOOKUP(D394,Assumptions!$A$10:$B$16,2,0)),"")))</f>
        <v>46389</v>
      </c>
      <c r="M394" s="14">
        <f>IF(ISNUMBER(L394),L394-Assumptions!$B$5,"")</f>
        <v>367</v>
      </c>
      <c r="N394" s="17">
        <f t="shared" si="36"/>
        <v>0</v>
      </c>
      <c r="O394" s="14">
        <f>IF(COUNTIF(Assumptions!$A$25:$A$27,A394)&gt;0,1,0)</f>
        <v>0</v>
      </c>
      <c r="P394" s="14">
        <f>IF(COUNTIF(Assumptions!$B$25:$B$26,A394)&gt;0,1,0)</f>
        <v>0</v>
      </c>
      <c r="Q394" s="14">
        <f>IF(COUNTIF(Assumptions!$C$25:$C$25,A394)&gt;0,1,0)</f>
        <v>0</v>
      </c>
      <c r="R394" s="17">
        <f t="shared" si="37"/>
        <v>0</v>
      </c>
      <c r="S394" s="15" t="str">
        <f>IFERROR(VLOOKUP(A394,Assumptions!$A$31:$B$33,2,0),"")</f>
        <v/>
      </c>
      <c r="T394" s="15">
        <f t="shared" si="38"/>
        <v>313.91000000000003</v>
      </c>
      <c r="U394" s="15">
        <f t="shared" si="39"/>
        <v>80674.87000000001</v>
      </c>
      <c r="V394" s="15">
        <f t="shared" si="40"/>
        <v>80674.87000000001</v>
      </c>
      <c r="W394" s="15">
        <f t="shared" si="41"/>
        <v>0</v>
      </c>
    </row>
    <row r="395" spans="1:23" ht="15" customHeight="1" x14ac:dyDescent="0.2">
      <c r="A395" s="14" t="s">
        <v>2623</v>
      </c>
      <c r="B395" s="14" t="s">
        <v>2624</v>
      </c>
      <c r="C395" s="14" t="s">
        <v>2137</v>
      </c>
      <c r="D395" s="14" t="s">
        <v>36</v>
      </c>
      <c r="E395" s="14" t="s">
        <v>2014</v>
      </c>
      <c r="F395" s="14">
        <v>750</v>
      </c>
      <c r="G395" s="15">
        <v>236.24</v>
      </c>
      <c r="H395" s="16">
        <v>46014</v>
      </c>
      <c r="I395" s="16">
        <v>46113</v>
      </c>
      <c r="J395" s="16"/>
      <c r="K395" s="14" t="s">
        <v>2004</v>
      </c>
      <c r="L395" s="16">
        <f>IF(D395="Packaging","",IF(ISNUMBER(J395),J395,IF(ISNUMBER(I395),EDATE(I395,VLOOKUP(D395,Assumptions!$A$10:$B$16,2,0)),"")))</f>
        <v>46844</v>
      </c>
      <c r="M395" s="14">
        <f>IF(ISNUMBER(L395),L395-Assumptions!$B$5,"")</f>
        <v>822</v>
      </c>
      <c r="N395" s="17">
        <f t="shared" si="36"/>
        <v>0</v>
      </c>
      <c r="O395" s="14">
        <f>IF(COUNTIF(Assumptions!$A$25:$A$27,A395)&gt;0,1,0)</f>
        <v>0</v>
      </c>
      <c r="P395" s="14">
        <f>IF(COUNTIF(Assumptions!$B$25:$B$26,A395)&gt;0,1,0)</f>
        <v>0</v>
      </c>
      <c r="Q395" s="14">
        <f>IF(COUNTIF(Assumptions!$C$25:$C$25,A395)&gt;0,1,0)</f>
        <v>0</v>
      </c>
      <c r="R395" s="17">
        <f t="shared" si="37"/>
        <v>0</v>
      </c>
      <c r="S395" s="15" t="str">
        <f>IFERROR(VLOOKUP(A395,Assumptions!$A$31:$B$33,2,0),"")</f>
        <v/>
      </c>
      <c r="T395" s="15">
        <f t="shared" si="38"/>
        <v>236.24</v>
      </c>
      <c r="U395" s="15">
        <f t="shared" si="39"/>
        <v>177180</v>
      </c>
      <c r="V395" s="15">
        <f t="shared" si="40"/>
        <v>177180</v>
      </c>
      <c r="W395" s="15">
        <f t="shared" si="41"/>
        <v>0</v>
      </c>
    </row>
    <row r="396" spans="1:23" ht="15" customHeight="1" x14ac:dyDescent="0.2">
      <c r="A396" s="14" t="s">
        <v>278</v>
      </c>
      <c r="B396" s="14" t="s">
        <v>277</v>
      </c>
      <c r="C396" s="14" t="s">
        <v>2142</v>
      </c>
      <c r="D396" s="14" t="s">
        <v>44</v>
      </c>
      <c r="E396" s="14" t="s">
        <v>2037</v>
      </c>
      <c r="F396" s="14">
        <v>1420</v>
      </c>
      <c r="G396" s="15">
        <v>413.38</v>
      </c>
      <c r="H396" s="16">
        <v>45810</v>
      </c>
      <c r="I396" s="16">
        <v>45770</v>
      </c>
      <c r="J396" s="16"/>
      <c r="K396" s="14" t="s">
        <v>2052</v>
      </c>
      <c r="L396" s="16">
        <f>IF(D396="Packaging","",IF(ISNUMBER(J396),J396,IF(ISNUMBER(I396),EDATE(I396,VLOOKUP(D396,Assumptions!$A$10:$B$16,2,0)),"")))</f>
        <v>46318</v>
      </c>
      <c r="M396" s="14">
        <f>IF(ISNUMBER(L396),L396-Assumptions!$B$5,"")</f>
        <v>296</v>
      </c>
      <c r="N396" s="17">
        <f t="shared" si="36"/>
        <v>0</v>
      </c>
      <c r="O396" s="14">
        <f>IF(COUNTIF(Assumptions!$A$25:$A$27,A396)&gt;0,1,0)</f>
        <v>0</v>
      </c>
      <c r="P396" s="14">
        <f>IF(COUNTIF(Assumptions!$B$25:$B$26,A396)&gt;0,1,0)</f>
        <v>0</v>
      </c>
      <c r="Q396" s="14">
        <f>IF(COUNTIF(Assumptions!$C$25:$C$25,A396)&gt;0,1,0)</f>
        <v>0</v>
      </c>
      <c r="R396" s="17">
        <f t="shared" si="37"/>
        <v>0</v>
      </c>
      <c r="S396" s="15" t="str">
        <f>IFERROR(VLOOKUP(A396,Assumptions!$A$31:$B$33,2,0),"")</f>
        <v/>
      </c>
      <c r="T396" s="15">
        <f t="shared" si="38"/>
        <v>413.38</v>
      </c>
      <c r="U396" s="15">
        <f t="shared" si="39"/>
        <v>586999.6</v>
      </c>
      <c r="V396" s="15">
        <f t="shared" si="40"/>
        <v>586999.6</v>
      </c>
      <c r="W396" s="15">
        <f t="shared" si="41"/>
        <v>0</v>
      </c>
    </row>
    <row r="397" spans="1:23" ht="15" customHeight="1" x14ac:dyDescent="0.2">
      <c r="A397" s="14" t="s">
        <v>1047</v>
      </c>
      <c r="B397" s="14" t="s">
        <v>1046</v>
      </c>
      <c r="C397" s="14" t="s">
        <v>2043</v>
      </c>
      <c r="D397" s="14" t="s">
        <v>39</v>
      </c>
      <c r="E397" s="14" t="s">
        <v>1988</v>
      </c>
      <c r="F397" s="14">
        <v>4036</v>
      </c>
      <c r="G397" s="15">
        <v>257.63</v>
      </c>
      <c r="H397" s="16">
        <v>45625</v>
      </c>
      <c r="I397" s="16">
        <v>45603</v>
      </c>
      <c r="J397" s="16">
        <v>46698</v>
      </c>
      <c r="K397" s="14" t="s">
        <v>1989</v>
      </c>
      <c r="L397" s="16">
        <f>IF(D397="Packaging","",IF(ISNUMBER(J397),J397,IF(ISNUMBER(I397),EDATE(I397,VLOOKUP(D397,Assumptions!$A$10:$B$16,2,0)),"")))</f>
        <v>46698</v>
      </c>
      <c r="M397" s="14">
        <f>IF(ISNUMBER(L397),L397-Assumptions!$B$5,"")</f>
        <v>676</v>
      </c>
      <c r="N397" s="17">
        <f t="shared" si="36"/>
        <v>0</v>
      </c>
      <c r="O397" s="14">
        <f>IF(COUNTIF(Assumptions!$A$25:$A$27,A397)&gt;0,1,0)</f>
        <v>0</v>
      </c>
      <c r="P397" s="14">
        <f>IF(COUNTIF(Assumptions!$B$25:$B$26,A397)&gt;0,1,0)</f>
        <v>0</v>
      </c>
      <c r="Q397" s="14">
        <f>IF(COUNTIF(Assumptions!$C$25:$C$25,A397)&gt;0,1,0)</f>
        <v>0</v>
      </c>
      <c r="R397" s="17">
        <f t="shared" si="37"/>
        <v>0</v>
      </c>
      <c r="S397" s="15" t="str">
        <f>IFERROR(VLOOKUP(A397,Assumptions!$A$31:$B$33,2,0),"")</f>
        <v/>
      </c>
      <c r="T397" s="15">
        <f t="shared" si="38"/>
        <v>257.63</v>
      </c>
      <c r="U397" s="15">
        <f t="shared" si="39"/>
        <v>1039794.6799999999</v>
      </c>
      <c r="V397" s="15">
        <f t="shared" si="40"/>
        <v>1039794.6799999999</v>
      </c>
      <c r="W397" s="15">
        <f t="shared" si="41"/>
        <v>0</v>
      </c>
    </row>
    <row r="398" spans="1:23" ht="15" customHeight="1" x14ac:dyDescent="0.2">
      <c r="A398" s="14" t="s">
        <v>1055</v>
      </c>
      <c r="B398" s="14" t="s">
        <v>1054</v>
      </c>
      <c r="C398" s="14" t="s">
        <v>2119</v>
      </c>
      <c r="D398" s="14" t="s">
        <v>39</v>
      </c>
      <c r="E398" s="14" t="s">
        <v>1993</v>
      </c>
      <c r="F398" s="14">
        <v>2025</v>
      </c>
      <c r="G398" s="15">
        <v>143.51</v>
      </c>
      <c r="H398" s="16">
        <v>45285</v>
      </c>
      <c r="I398" s="16">
        <v>45233</v>
      </c>
      <c r="J398" s="16">
        <v>46329</v>
      </c>
      <c r="K398" s="14" t="s">
        <v>2030</v>
      </c>
      <c r="L398" s="16">
        <f>IF(D398="Packaging","",IF(ISNUMBER(J398),J398,IF(ISNUMBER(I398),EDATE(I398,VLOOKUP(D398,Assumptions!$A$10:$B$16,2,0)),"")))</f>
        <v>46329</v>
      </c>
      <c r="M398" s="14">
        <f>IF(ISNUMBER(L398),L398-Assumptions!$B$5,"")</f>
        <v>307</v>
      </c>
      <c r="N398" s="17">
        <f t="shared" si="36"/>
        <v>0</v>
      </c>
      <c r="O398" s="14">
        <f>IF(COUNTIF(Assumptions!$A$25:$A$27,A398)&gt;0,1,0)</f>
        <v>0</v>
      </c>
      <c r="P398" s="14">
        <f>IF(COUNTIF(Assumptions!$B$25:$B$26,A398)&gt;0,1,0)</f>
        <v>0</v>
      </c>
      <c r="Q398" s="14">
        <f>IF(COUNTIF(Assumptions!$C$25:$C$25,A398)&gt;0,1,0)</f>
        <v>0</v>
      </c>
      <c r="R398" s="17">
        <f t="shared" si="37"/>
        <v>0</v>
      </c>
      <c r="S398" s="15" t="str">
        <f>IFERROR(VLOOKUP(A398,Assumptions!$A$31:$B$33,2,0),"")</f>
        <v/>
      </c>
      <c r="T398" s="15">
        <f t="shared" si="38"/>
        <v>143.51</v>
      </c>
      <c r="U398" s="15">
        <f t="shared" si="39"/>
        <v>290607.75</v>
      </c>
      <c r="V398" s="15">
        <f t="shared" si="40"/>
        <v>290607.75</v>
      </c>
      <c r="W398" s="15">
        <f t="shared" si="41"/>
        <v>0</v>
      </c>
    </row>
    <row r="399" spans="1:23" ht="15" customHeight="1" x14ac:dyDescent="0.2">
      <c r="A399" s="14" t="s">
        <v>2625</v>
      </c>
      <c r="B399" s="14" t="s">
        <v>2626</v>
      </c>
      <c r="C399" s="14" t="s">
        <v>2042</v>
      </c>
      <c r="D399" s="14" t="s">
        <v>47</v>
      </c>
      <c r="E399" s="14" t="s">
        <v>2037</v>
      </c>
      <c r="F399" s="14">
        <v>2129</v>
      </c>
      <c r="G399" s="15">
        <v>58.27</v>
      </c>
      <c r="H399" s="16">
        <v>45512</v>
      </c>
      <c r="I399" s="16">
        <v>45435</v>
      </c>
      <c r="J399" s="16"/>
      <c r="K399" s="14" t="s">
        <v>2015</v>
      </c>
      <c r="L399" s="16" t="str">
        <f>IF(D399="Packaging","",IF(ISNUMBER(J399),J399,IF(ISNUMBER(I399),EDATE(I399,VLOOKUP(D399,Assumptions!$A$10:$B$16,2,0)),"")))</f>
        <v/>
      </c>
      <c r="M399" s="14" t="str">
        <f>IF(ISNUMBER(L399),L399-Assumptions!$B$5,"")</f>
        <v/>
      </c>
      <c r="N399" s="17">
        <f t="shared" si="36"/>
        <v>0</v>
      </c>
      <c r="O399" s="14">
        <f>IF(COUNTIF(Assumptions!$A$25:$A$27,A399)&gt;0,1,0)</f>
        <v>0</v>
      </c>
      <c r="P399" s="14">
        <f>IF(COUNTIF(Assumptions!$B$25:$B$26,A399)&gt;0,1,0)</f>
        <v>0</v>
      </c>
      <c r="Q399" s="14">
        <f>IF(COUNTIF(Assumptions!$C$25:$C$25,A399)&gt;0,1,0)</f>
        <v>0</v>
      </c>
      <c r="R399" s="17">
        <f t="shared" si="37"/>
        <v>0</v>
      </c>
      <c r="S399" s="15" t="str">
        <f>IFERROR(VLOOKUP(A399,Assumptions!$A$31:$B$33,2,0),"")</f>
        <v/>
      </c>
      <c r="T399" s="15">
        <f t="shared" si="38"/>
        <v>58.27</v>
      </c>
      <c r="U399" s="15">
        <f t="shared" si="39"/>
        <v>124056.83</v>
      </c>
      <c r="V399" s="15">
        <f t="shared" si="40"/>
        <v>124056.83</v>
      </c>
      <c r="W399" s="15">
        <f t="shared" si="41"/>
        <v>0</v>
      </c>
    </row>
    <row r="400" spans="1:23" ht="15" customHeight="1" x14ac:dyDescent="0.2">
      <c r="A400" s="14" t="s">
        <v>2627</v>
      </c>
      <c r="B400" s="14" t="s">
        <v>2628</v>
      </c>
      <c r="C400" s="14" t="s">
        <v>2049</v>
      </c>
      <c r="D400" s="14" t="s">
        <v>42</v>
      </c>
      <c r="E400" s="14" t="s">
        <v>1993</v>
      </c>
      <c r="F400" s="14">
        <v>3356</v>
      </c>
      <c r="G400" s="15">
        <v>402.75</v>
      </c>
      <c r="H400" s="16">
        <v>45988</v>
      </c>
      <c r="I400" s="16">
        <v>46309</v>
      </c>
      <c r="J400" s="16"/>
      <c r="K400" s="14" t="s">
        <v>2021</v>
      </c>
      <c r="L400" s="16">
        <f>IF(D400="Packaging","",IF(ISNUMBER(J400),J400,IF(ISNUMBER(I400),EDATE(I400,VLOOKUP(D400,Assumptions!$A$10:$B$16,2,0)),"")))</f>
        <v>46674</v>
      </c>
      <c r="M400" s="14">
        <f>IF(ISNUMBER(L400),L400-Assumptions!$B$5,"")</f>
        <v>652</v>
      </c>
      <c r="N400" s="17">
        <f t="shared" si="36"/>
        <v>0</v>
      </c>
      <c r="O400" s="14">
        <f>IF(COUNTIF(Assumptions!$A$25:$A$27,A400)&gt;0,1,0)</f>
        <v>0</v>
      </c>
      <c r="P400" s="14">
        <f>IF(COUNTIF(Assumptions!$B$25:$B$26,A400)&gt;0,1,0)</f>
        <v>0</v>
      </c>
      <c r="Q400" s="14">
        <f>IF(COUNTIF(Assumptions!$C$25:$C$25,A400)&gt;0,1,0)</f>
        <v>0</v>
      </c>
      <c r="R400" s="17">
        <f t="shared" si="37"/>
        <v>0</v>
      </c>
      <c r="S400" s="15" t="str">
        <f>IFERROR(VLOOKUP(A400,Assumptions!$A$31:$B$33,2,0),"")</f>
        <v/>
      </c>
      <c r="T400" s="15">
        <f t="shared" si="38"/>
        <v>402.75</v>
      </c>
      <c r="U400" s="15">
        <f t="shared" si="39"/>
        <v>1351629</v>
      </c>
      <c r="V400" s="15">
        <f t="shared" si="40"/>
        <v>1351629</v>
      </c>
      <c r="W400" s="15">
        <f t="shared" si="41"/>
        <v>0</v>
      </c>
    </row>
    <row r="401" spans="1:23" ht="15" customHeight="1" x14ac:dyDescent="0.2">
      <c r="A401" s="14" t="s">
        <v>1076</v>
      </c>
      <c r="B401" s="14" t="s">
        <v>1075</v>
      </c>
      <c r="C401" s="14" t="s">
        <v>2022</v>
      </c>
      <c r="D401" s="14" t="s">
        <v>39</v>
      </c>
      <c r="E401" s="14" t="s">
        <v>2037</v>
      </c>
      <c r="F401" s="14">
        <v>3399</v>
      </c>
      <c r="G401" s="15">
        <v>160.6</v>
      </c>
      <c r="H401" s="16">
        <v>45738</v>
      </c>
      <c r="I401" s="16">
        <v>45650</v>
      </c>
      <c r="J401" s="16"/>
      <c r="K401" s="14" t="s">
        <v>1994</v>
      </c>
      <c r="L401" s="16">
        <f>IF(D401="Packaging","",IF(ISNUMBER(J401),J401,IF(ISNUMBER(I401),EDATE(I401,VLOOKUP(D401,Assumptions!$A$10:$B$16,2,0)),"")))</f>
        <v>46745</v>
      </c>
      <c r="M401" s="14">
        <f>IF(ISNUMBER(L401),L401-Assumptions!$B$5,"")</f>
        <v>723</v>
      </c>
      <c r="N401" s="17">
        <f t="shared" si="36"/>
        <v>0</v>
      </c>
      <c r="O401" s="14">
        <f>IF(COUNTIF(Assumptions!$A$25:$A$27,A401)&gt;0,1,0)</f>
        <v>0</v>
      </c>
      <c r="P401" s="14">
        <f>IF(COUNTIF(Assumptions!$B$25:$B$26,A401)&gt;0,1,0)</f>
        <v>0</v>
      </c>
      <c r="Q401" s="14">
        <f>IF(COUNTIF(Assumptions!$C$25:$C$25,A401)&gt;0,1,0)</f>
        <v>0</v>
      </c>
      <c r="R401" s="17">
        <f t="shared" si="37"/>
        <v>0</v>
      </c>
      <c r="S401" s="15" t="str">
        <f>IFERROR(VLOOKUP(A401,Assumptions!$A$31:$B$33,2,0),"")</f>
        <v/>
      </c>
      <c r="T401" s="15">
        <f t="shared" si="38"/>
        <v>160.6</v>
      </c>
      <c r="U401" s="15">
        <f t="shared" si="39"/>
        <v>545879.4</v>
      </c>
      <c r="V401" s="15">
        <f t="shared" si="40"/>
        <v>545879.4</v>
      </c>
      <c r="W401" s="15">
        <f t="shared" si="41"/>
        <v>0</v>
      </c>
    </row>
    <row r="402" spans="1:23" ht="15" customHeight="1" x14ac:dyDescent="0.2">
      <c r="A402" s="14" t="s">
        <v>2629</v>
      </c>
      <c r="B402" s="14" t="s">
        <v>2630</v>
      </c>
      <c r="C402" s="14" t="s">
        <v>1992</v>
      </c>
      <c r="D402" s="14" t="s">
        <v>45</v>
      </c>
      <c r="E402" s="14" t="s">
        <v>1993</v>
      </c>
      <c r="F402" s="14">
        <v>1958</v>
      </c>
      <c r="G402" s="15">
        <v>329.04</v>
      </c>
      <c r="H402" s="16">
        <v>46017</v>
      </c>
      <c r="I402" s="16">
        <v>46169</v>
      </c>
      <c r="J402" s="16"/>
      <c r="K402" s="14" t="s">
        <v>1994</v>
      </c>
      <c r="L402" s="16">
        <f>IF(D402="Packaging","",IF(ISNUMBER(J402),J402,IF(ISNUMBER(I402),EDATE(I402,VLOOKUP(D402,Assumptions!$A$10:$B$16,2,0)),"")))</f>
        <v>46353</v>
      </c>
      <c r="M402" s="14">
        <f>IF(ISNUMBER(L402),L402-Assumptions!$B$5,"")</f>
        <v>331</v>
      </c>
      <c r="N402" s="17">
        <f t="shared" si="36"/>
        <v>0</v>
      </c>
      <c r="O402" s="14">
        <f>IF(COUNTIF(Assumptions!$A$25:$A$27,A402)&gt;0,1,0)</f>
        <v>0</v>
      </c>
      <c r="P402" s="14">
        <f>IF(COUNTIF(Assumptions!$B$25:$B$26,A402)&gt;0,1,0)</f>
        <v>0</v>
      </c>
      <c r="Q402" s="14">
        <f>IF(COUNTIF(Assumptions!$C$25:$C$25,A402)&gt;0,1,0)</f>
        <v>0</v>
      </c>
      <c r="R402" s="17">
        <f t="shared" si="37"/>
        <v>0</v>
      </c>
      <c r="S402" s="15" t="str">
        <f>IFERROR(VLOOKUP(A402,Assumptions!$A$31:$B$33,2,0),"")</f>
        <v/>
      </c>
      <c r="T402" s="15">
        <f t="shared" si="38"/>
        <v>329.04</v>
      </c>
      <c r="U402" s="15">
        <f t="shared" si="39"/>
        <v>644260.32000000007</v>
      </c>
      <c r="V402" s="15">
        <f t="shared" si="40"/>
        <v>644260.32000000007</v>
      </c>
      <c r="W402" s="15">
        <f t="shared" si="41"/>
        <v>0</v>
      </c>
    </row>
    <row r="403" spans="1:23" ht="15" customHeight="1" x14ac:dyDescent="0.2">
      <c r="A403" s="14" t="s">
        <v>2631</v>
      </c>
      <c r="B403" s="14" t="s">
        <v>2632</v>
      </c>
      <c r="C403" s="14" t="s">
        <v>2219</v>
      </c>
      <c r="D403" s="14" t="s">
        <v>42</v>
      </c>
      <c r="E403" s="14" t="s">
        <v>1988</v>
      </c>
      <c r="F403" s="14">
        <v>3425</v>
      </c>
      <c r="G403" s="15">
        <v>295.29000000000002</v>
      </c>
      <c r="H403" s="16">
        <v>45992</v>
      </c>
      <c r="I403" s="16">
        <v>46095</v>
      </c>
      <c r="J403" s="16">
        <v>46460</v>
      </c>
      <c r="K403" s="14" t="s">
        <v>1989</v>
      </c>
      <c r="L403" s="16">
        <f>IF(D403="Packaging","",IF(ISNUMBER(J403),J403,IF(ISNUMBER(I403),EDATE(I403,VLOOKUP(D403,Assumptions!$A$10:$B$16,2,0)),"")))</f>
        <v>46460</v>
      </c>
      <c r="M403" s="14">
        <f>IF(ISNUMBER(L403),L403-Assumptions!$B$5,"")</f>
        <v>438</v>
      </c>
      <c r="N403" s="17">
        <f t="shared" si="36"/>
        <v>0</v>
      </c>
      <c r="O403" s="14">
        <f>IF(COUNTIF(Assumptions!$A$25:$A$27,A403)&gt;0,1,0)</f>
        <v>0</v>
      </c>
      <c r="P403" s="14">
        <f>IF(COUNTIF(Assumptions!$B$25:$B$26,A403)&gt;0,1,0)</f>
        <v>0</v>
      </c>
      <c r="Q403" s="14">
        <f>IF(COUNTIF(Assumptions!$C$25:$C$25,A403)&gt;0,1,0)</f>
        <v>0</v>
      </c>
      <c r="R403" s="17">
        <f t="shared" si="37"/>
        <v>0</v>
      </c>
      <c r="S403" s="15" t="str">
        <f>IFERROR(VLOOKUP(A403,Assumptions!$A$31:$B$33,2,0),"")</f>
        <v/>
      </c>
      <c r="T403" s="15">
        <f t="shared" si="38"/>
        <v>295.29000000000002</v>
      </c>
      <c r="U403" s="15">
        <f t="shared" si="39"/>
        <v>1011368.2500000001</v>
      </c>
      <c r="V403" s="15">
        <f t="shared" si="40"/>
        <v>1011368.2500000001</v>
      </c>
      <c r="W403" s="15">
        <f t="shared" si="41"/>
        <v>0</v>
      </c>
    </row>
    <row r="404" spans="1:23" ht="15" customHeight="1" x14ac:dyDescent="0.2">
      <c r="A404" s="14" t="s">
        <v>2633</v>
      </c>
      <c r="B404" s="14" t="s">
        <v>2634</v>
      </c>
      <c r="C404" s="14" t="s">
        <v>1997</v>
      </c>
      <c r="D404" s="14" t="s">
        <v>45</v>
      </c>
      <c r="E404" s="14" t="s">
        <v>1988</v>
      </c>
      <c r="F404" s="14">
        <v>1150</v>
      </c>
      <c r="G404" s="15">
        <v>290.22000000000003</v>
      </c>
      <c r="H404" s="16">
        <v>45969</v>
      </c>
      <c r="I404" s="16">
        <v>46391</v>
      </c>
      <c r="J404" s="16">
        <v>46572</v>
      </c>
      <c r="K404" s="14" t="s">
        <v>2052</v>
      </c>
      <c r="L404" s="16">
        <f>IF(D404="Packaging","",IF(ISNUMBER(J404),J404,IF(ISNUMBER(I404),EDATE(I404,VLOOKUP(D404,Assumptions!$A$10:$B$16,2,0)),"")))</f>
        <v>46572</v>
      </c>
      <c r="M404" s="14">
        <f>IF(ISNUMBER(L404),L404-Assumptions!$B$5,"")</f>
        <v>550</v>
      </c>
      <c r="N404" s="17">
        <f t="shared" si="36"/>
        <v>0</v>
      </c>
      <c r="O404" s="14">
        <f>IF(COUNTIF(Assumptions!$A$25:$A$27,A404)&gt;0,1,0)</f>
        <v>0</v>
      </c>
      <c r="P404" s="14">
        <f>IF(COUNTIF(Assumptions!$B$25:$B$26,A404)&gt;0,1,0)</f>
        <v>0</v>
      </c>
      <c r="Q404" s="14">
        <f>IF(COUNTIF(Assumptions!$C$25:$C$25,A404)&gt;0,1,0)</f>
        <v>0</v>
      </c>
      <c r="R404" s="17">
        <f t="shared" si="37"/>
        <v>0</v>
      </c>
      <c r="S404" s="15" t="str">
        <f>IFERROR(VLOOKUP(A404,Assumptions!$A$31:$B$33,2,0),"")</f>
        <v/>
      </c>
      <c r="T404" s="15">
        <f t="shared" si="38"/>
        <v>290.22000000000003</v>
      </c>
      <c r="U404" s="15">
        <f t="shared" si="39"/>
        <v>333753.00000000006</v>
      </c>
      <c r="V404" s="15">
        <f t="shared" si="40"/>
        <v>333753.00000000006</v>
      </c>
      <c r="W404" s="15">
        <f t="shared" si="41"/>
        <v>0</v>
      </c>
    </row>
    <row r="405" spans="1:23" ht="15" customHeight="1" x14ac:dyDescent="0.2">
      <c r="A405" s="14" t="s">
        <v>2635</v>
      </c>
      <c r="B405" s="14" t="s">
        <v>2636</v>
      </c>
      <c r="C405" s="14" t="s">
        <v>2042</v>
      </c>
      <c r="D405" s="14" t="s">
        <v>47</v>
      </c>
      <c r="E405" s="14" t="s">
        <v>1988</v>
      </c>
      <c r="F405" s="14">
        <v>1994</v>
      </c>
      <c r="G405" s="15">
        <v>166.95</v>
      </c>
      <c r="H405" s="16">
        <v>45937</v>
      </c>
      <c r="I405" s="16">
        <v>45861</v>
      </c>
      <c r="J405" s="16"/>
      <c r="K405" s="14" t="s">
        <v>1989</v>
      </c>
      <c r="L405" s="16" t="str">
        <f>IF(D405="Packaging","",IF(ISNUMBER(J405),J405,IF(ISNUMBER(I405),EDATE(I405,VLOOKUP(D405,Assumptions!$A$10:$B$16,2,0)),"")))</f>
        <v/>
      </c>
      <c r="M405" s="14" t="str">
        <f>IF(ISNUMBER(L405),L405-Assumptions!$B$5,"")</f>
        <v/>
      </c>
      <c r="N405" s="17">
        <f t="shared" si="36"/>
        <v>0</v>
      </c>
      <c r="O405" s="14">
        <f>IF(COUNTIF(Assumptions!$A$25:$A$27,A405)&gt;0,1,0)</f>
        <v>0</v>
      </c>
      <c r="P405" s="14">
        <f>IF(COUNTIF(Assumptions!$B$25:$B$26,A405)&gt;0,1,0)</f>
        <v>0</v>
      </c>
      <c r="Q405" s="14">
        <f>IF(COUNTIF(Assumptions!$C$25:$C$25,A405)&gt;0,1,0)</f>
        <v>0</v>
      </c>
      <c r="R405" s="17">
        <f t="shared" si="37"/>
        <v>0</v>
      </c>
      <c r="S405" s="15" t="str">
        <f>IFERROR(VLOOKUP(A405,Assumptions!$A$31:$B$33,2,0),"")</f>
        <v/>
      </c>
      <c r="T405" s="15">
        <f t="shared" si="38"/>
        <v>166.95</v>
      </c>
      <c r="U405" s="15">
        <f t="shared" si="39"/>
        <v>332898.3</v>
      </c>
      <c r="V405" s="15">
        <f t="shared" si="40"/>
        <v>332898.3</v>
      </c>
      <c r="W405" s="15">
        <f t="shared" si="41"/>
        <v>0</v>
      </c>
    </row>
    <row r="406" spans="1:23" ht="15" customHeight="1" x14ac:dyDescent="0.2">
      <c r="A406" s="14" t="s">
        <v>2637</v>
      </c>
      <c r="B406" s="14" t="s">
        <v>2638</v>
      </c>
      <c r="C406" s="14" t="s">
        <v>1997</v>
      </c>
      <c r="D406" s="14" t="s">
        <v>45</v>
      </c>
      <c r="E406" s="14" t="s">
        <v>1993</v>
      </c>
      <c r="F406" s="14">
        <v>2375</v>
      </c>
      <c r="G406" s="15">
        <v>408.4</v>
      </c>
      <c r="H406" s="16">
        <v>45967</v>
      </c>
      <c r="I406" s="16">
        <v>46131</v>
      </c>
      <c r="J406" s="16">
        <v>46314</v>
      </c>
      <c r="K406" s="14" t="s">
        <v>2021</v>
      </c>
      <c r="L406" s="16">
        <f>IF(D406="Packaging","",IF(ISNUMBER(J406),J406,IF(ISNUMBER(I406),EDATE(I406,VLOOKUP(D406,Assumptions!$A$10:$B$16,2,0)),"")))</f>
        <v>46314</v>
      </c>
      <c r="M406" s="14">
        <f>IF(ISNUMBER(L406),L406-Assumptions!$B$5,"")</f>
        <v>292</v>
      </c>
      <c r="N406" s="17">
        <f t="shared" si="36"/>
        <v>0</v>
      </c>
      <c r="O406" s="14">
        <f>IF(COUNTIF(Assumptions!$A$25:$A$27,A406)&gt;0,1,0)</f>
        <v>0</v>
      </c>
      <c r="P406" s="14">
        <f>IF(COUNTIF(Assumptions!$B$25:$B$26,A406)&gt;0,1,0)</f>
        <v>0</v>
      </c>
      <c r="Q406" s="14">
        <f>IF(COUNTIF(Assumptions!$C$25:$C$25,A406)&gt;0,1,0)</f>
        <v>0</v>
      </c>
      <c r="R406" s="17">
        <f t="shared" si="37"/>
        <v>0</v>
      </c>
      <c r="S406" s="15" t="str">
        <f>IFERROR(VLOOKUP(A406,Assumptions!$A$31:$B$33,2,0),"")</f>
        <v/>
      </c>
      <c r="T406" s="15">
        <f t="shared" si="38"/>
        <v>408.4</v>
      </c>
      <c r="U406" s="15">
        <f t="shared" si="39"/>
        <v>969950</v>
      </c>
      <c r="V406" s="15">
        <f t="shared" si="40"/>
        <v>969950</v>
      </c>
      <c r="W406" s="15">
        <f t="shared" si="41"/>
        <v>0</v>
      </c>
    </row>
    <row r="407" spans="1:23" ht="15" customHeight="1" x14ac:dyDescent="0.2">
      <c r="A407" s="14" t="s">
        <v>2639</v>
      </c>
      <c r="B407" s="14" t="s">
        <v>2640</v>
      </c>
      <c r="C407" s="14" t="s">
        <v>1997</v>
      </c>
      <c r="D407" s="14" t="s">
        <v>45</v>
      </c>
      <c r="E407" s="14" t="s">
        <v>2014</v>
      </c>
      <c r="F407" s="14">
        <v>4397</v>
      </c>
      <c r="G407" s="15">
        <v>221.02</v>
      </c>
      <c r="H407" s="16">
        <v>45929</v>
      </c>
      <c r="I407" s="16">
        <v>45911</v>
      </c>
      <c r="J407" s="16">
        <v>46092</v>
      </c>
      <c r="K407" s="14" t="s">
        <v>1989</v>
      </c>
      <c r="L407" s="16">
        <f>IF(D407="Packaging","",IF(ISNUMBER(J407),J407,IF(ISNUMBER(I407),EDATE(I407,VLOOKUP(D407,Assumptions!$A$10:$B$16,2,0)),"")))</f>
        <v>46092</v>
      </c>
      <c r="M407" s="14">
        <f>IF(ISNUMBER(L407),L407-Assumptions!$B$5,"")</f>
        <v>70</v>
      </c>
      <c r="N407" s="17">
        <f t="shared" si="36"/>
        <v>0.5</v>
      </c>
      <c r="O407" s="14">
        <f>IF(COUNTIF(Assumptions!$A$25:$A$27,A407)&gt;0,1,0)</f>
        <v>0</v>
      </c>
      <c r="P407" s="14">
        <f>IF(COUNTIF(Assumptions!$B$25:$B$26,A407)&gt;0,1,0)</f>
        <v>0</v>
      </c>
      <c r="Q407" s="14">
        <f>IF(COUNTIF(Assumptions!$C$25:$C$25,A407)&gt;0,1,0)</f>
        <v>0</v>
      </c>
      <c r="R407" s="17">
        <f t="shared" si="37"/>
        <v>0.5</v>
      </c>
      <c r="S407" s="15" t="str">
        <f>IFERROR(VLOOKUP(A407,Assumptions!$A$31:$B$33,2,0),"")</f>
        <v/>
      </c>
      <c r="T407" s="15">
        <f t="shared" si="38"/>
        <v>221.02</v>
      </c>
      <c r="U407" s="15">
        <f t="shared" si="39"/>
        <v>971824.94000000006</v>
      </c>
      <c r="V407" s="15">
        <f t="shared" si="40"/>
        <v>485912.47000000003</v>
      </c>
      <c r="W407" s="15">
        <f t="shared" si="41"/>
        <v>485912.47000000003</v>
      </c>
    </row>
    <row r="408" spans="1:23" ht="15" customHeight="1" x14ac:dyDescent="0.2">
      <c r="A408" s="14" t="s">
        <v>37</v>
      </c>
      <c r="B408" s="14" t="s">
        <v>2641</v>
      </c>
      <c r="C408" s="14" t="s">
        <v>2043</v>
      </c>
      <c r="D408" s="14" t="s">
        <v>39</v>
      </c>
      <c r="E408" s="14" t="s">
        <v>1993</v>
      </c>
      <c r="F408" s="14">
        <v>1434</v>
      </c>
      <c r="G408" s="15">
        <v>249.97</v>
      </c>
      <c r="H408" s="16">
        <v>46005</v>
      </c>
      <c r="I408" s="16"/>
      <c r="J408" s="16"/>
      <c r="K408" s="14" t="s">
        <v>2030</v>
      </c>
      <c r="L408" s="16" t="str">
        <f>IF(D408="Packaging","",IF(ISNUMBER(J408),J408,IF(ISNUMBER(I408),EDATE(I408,VLOOKUP(D408,Assumptions!$A$10:$B$16,2,0)),"")))</f>
        <v/>
      </c>
      <c r="M408" s="14" t="str">
        <f>IF(ISNUMBER(L408),L408-Assumptions!$B$5,"")</f>
        <v/>
      </c>
      <c r="N408" s="17">
        <f t="shared" si="36"/>
        <v>0</v>
      </c>
      <c r="O408" s="14">
        <f>IF(COUNTIF(Assumptions!$A$25:$A$27,A408)&gt;0,1,0)</f>
        <v>1</v>
      </c>
      <c r="P408" s="14">
        <f>IF(COUNTIF(Assumptions!$B$25:$B$26,A408)&gt;0,1,0)</f>
        <v>0</v>
      </c>
      <c r="Q408" s="14">
        <f>IF(COUNTIF(Assumptions!$C$25:$C$25,A408)&gt;0,1,0)</f>
        <v>0</v>
      </c>
      <c r="R408" s="17">
        <f t="shared" si="37"/>
        <v>1</v>
      </c>
      <c r="S408" s="15" t="str">
        <f>IFERROR(VLOOKUP(A408,Assumptions!$A$31:$B$33,2,0),"")</f>
        <v/>
      </c>
      <c r="T408" s="15">
        <f t="shared" si="38"/>
        <v>249.97</v>
      </c>
      <c r="U408" s="15">
        <f t="shared" si="39"/>
        <v>358456.98</v>
      </c>
      <c r="V408" s="15">
        <f t="shared" si="40"/>
        <v>0</v>
      </c>
      <c r="W408" s="15">
        <f t="shared" si="41"/>
        <v>358456.98</v>
      </c>
    </row>
    <row r="409" spans="1:23" ht="15" customHeight="1" x14ac:dyDescent="0.2">
      <c r="A409" s="14" t="s">
        <v>2642</v>
      </c>
      <c r="B409" s="14" t="s">
        <v>2643</v>
      </c>
      <c r="C409" s="14" t="s">
        <v>2049</v>
      </c>
      <c r="D409" s="14" t="s">
        <v>42</v>
      </c>
      <c r="E409" s="14" t="s">
        <v>1988</v>
      </c>
      <c r="F409" s="14">
        <v>3840</v>
      </c>
      <c r="G409" s="15">
        <v>96.31</v>
      </c>
      <c r="H409" s="16">
        <v>45986</v>
      </c>
      <c r="I409" s="16">
        <v>46093</v>
      </c>
      <c r="J409" s="16"/>
      <c r="K409" s="14" t="s">
        <v>2052</v>
      </c>
      <c r="L409" s="16">
        <f>IF(D409="Packaging","",IF(ISNUMBER(J409),J409,IF(ISNUMBER(I409),EDATE(I409,VLOOKUP(D409,Assumptions!$A$10:$B$16,2,0)),"")))</f>
        <v>46458</v>
      </c>
      <c r="M409" s="14">
        <f>IF(ISNUMBER(L409),L409-Assumptions!$B$5,"")</f>
        <v>436</v>
      </c>
      <c r="N409" s="17">
        <f t="shared" si="36"/>
        <v>0</v>
      </c>
      <c r="O409" s="14">
        <f>IF(COUNTIF(Assumptions!$A$25:$A$27,A409)&gt;0,1,0)</f>
        <v>0</v>
      </c>
      <c r="P409" s="14">
        <f>IF(COUNTIF(Assumptions!$B$25:$B$26,A409)&gt;0,1,0)</f>
        <v>0</v>
      </c>
      <c r="Q409" s="14">
        <f>IF(COUNTIF(Assumptions!$C$25:$C$25,A409)&gt;0,1,0)</f>
        <v>0</v>
      </c>
      <c r="R409" s="17">
        <f t="shared" si="37"/>
        <v>0</v>
      </c>
      <c r="S409" s="15" t="str">
        <f>IFERROR(VLOOKUP(A409,Assumptions!$A$31:$B$33,2,0),"")</f>
        <v/>
      </c>
      <c r="T409" s="15">
        <f t="shared" si="38"/>
        <v>96.31</v>
      </c>
      <c r="U409" s="15">
        <f t="shared" si="39"/>
        <v>369830.40000000002</v>
      </c>
      <c r="V409" s="15">
        <f t="shared" si="40"/>
        <v>369830.40000000002</v>
      </c>
      <c r="W409" s="15">
        <f t="shared" si="41"/>
        <v>0</v>
      </c>
    </row>
    <row r="410" spans="1:23" ht="15" customHeight="1" x14ac:dyDescent="0.2">
      <c r="A410" s="14" t="s">
        <v>2644</v>
      </c>
      <c r="B410" s="14" t="s">
        <v>2645</v>
      </c>
      <c r="C410" s="14" t="s">
        <v>2094</v>
      </c>
      <c r="D410" s="14" t="s">
        <v>47</v>
      </c>
      <c r="E410" s="14" t="s">
        <v>2037</v>
      </c>
      <c r="F410" s="14">
        <v>3020</v>
      </c>
      <c r="G410" s="15">
        <v>199.17</v>
      </c>
      <c r="H410" s="16">
        <v>45936</v>
      </c>
      <c r="I410" s="16">
        <v>45928</v>
      </c>
      <c r="J410" s="16"/>
      <c r="K410" s="14" t="s">
        <v>1989</v>
      </c>
      <c r="L410" s="16" t="str">
        <f>IF(D410="Packaging","",IF(ISNUMBER(J410),J410,IF(ISNUMBER(I410),EDATE(I410,VLOOKUP(D410,Assumptions!$A$10:$B$16,2,0)),"")))</f>
        <v/>
      </c>
      <c r="M410" s="14" t="str">
        <f>IF(ISNUMBER(L410),L410-Assumptions!$B$5,"")</f>
        <v/>
      </c>
      <c r="N410" s="17">
        <f t="shared" si="36"/>
        <v>0</v>
      </c>
      <c r="O410" s="14">
        <f>IF(COUNTIF(Assumptions!$A$25:$A$27,A410)&gt;0,1,0)</f>
        <v>0</v>
      </c>
      <c r="P410" s="14">
        <f>IF(COUNTIF(Assumptions!$B$25:$B$26,A410)&gt;0,1,0)</f>
        <v>0</v>
      </c>
      <c r="Q410" s="14">
        <f>IF(COUNTIF(Assumptions!$C$25:$C$25,A410)&gt;0,1,0)</f>
        <v>0</v>
      </c>
      <c r="R410" s="17">
        <f t="shared" si="37"/>
        <v>0</v>
      </c>
      <c r="S410" s="15" t="str">
        <f>IFERROR(VLOOKUP(A410,Assumptions!$A$31:$B$33,2,0),"")</f>
        <v/>
      </c>
      <c r="T410" s="15">
        <f t="shared" si="38"/>
        <v>199.17</v>
      </c>
      <c r="U410" s="15">
        <f t="shared" si="39"/>
        <v>601493.39999999991</v>
      </c>
      <c r="V410" s="15">
        <f t="shared" si="40"/>
        <v>601493.39999999991</v>
      </c>
      <c r="W410" s="15">
        <f t="shared" si="41"/>
        <v>0</v>
      </c>
    </row>
    <row r="411" spans="1:23" ht="15" customHeight="1" x14ac:dyDescent="0.2">
      <c r="A411" s="14" t="s">
        <v>2646</v>
      </c>
      <c r="B411" s="14" t="s">
        <v>2647</v>
      </c>
      <c r="C411" s="14" t="s">
        <v>2003</v>
      </c>
      <c r="D411" s="14" t="s">
        <v>46</v>
      </c>
      <c r="E411" s="14" t="s">
        <v>1993</v>
      </c>
      <c r="F411" s="14">
        <v>3142</v>
      </c>
      <c r="G411" s="15">
        <v>100.25</v>
      </c>
      <c r="H411" s="16">
        <v>45984</v>
      </c>
      <c r="I411" s="16">
        <v>46301</v>
      </c>
      <c r="J411" s="16">
        <v>46574</v>
      </c>
      <c r="K411" s="14" t="s">
        <v>2052</v>
      </c>
      <c r="L411" s="16">
        <f>IF(D411="Packaging","",IF(ISNUMBER(J411),J411,IF(ISNUMBER(I411),EDATE(I411,VLOOKUP(D411,Assumptions!$A$10:$B$16,2,0)),"")))</f>
        <v>46574</v>
      </c>
      <c r="M411" s="14">
        <f>IF(ISNUMBER(L411),L411-Assumptions!$B$5,"")</f>
        <v>552</v>
      </c>
      <c r="N411" s="17">
        <f t="shared" si="36"/>
        <v>0</v>
      </c>
      <c r="O411" s="14">
        <f>IF(COUNTIF(Assumptions!$A$25:$A$27,A411)&gt;0,1,0)</f>
        <v>0</v>
      </c>
      <c r="P411" s="14">
        <f>IF(COUNTIF(Assumptions!$B$25:$B$26,A411)&gt;0,1,0)</f>
        <v>0</v>
      </c>
      <c r="Q411" s="14">
        <f>IF(COUNTIF(Assumptions!$C$25:$C$25,A411)&gt;0,1,0)</f>
        <v>0</v>
      </c>
      <c r="R411" s="17">
        <f t="shared" si="37"/>
        <v>0</v>
      </c>
      <c r="S411" s="15" t="str">
        <f>IFERROR(VLOOKUP(A411,Assumptions!$A$31:$B$33,2,0),"")</f>
        <v/>
      </c>
      <c r="T411" s="15">
        <f t="shared" si="38"/>
        <v>100.25</v>
      </c>
      <c r="U411" s="15">
        <f t="shared" si="39"/>
        <v>314985.5</v>
      </c>
      <c r="V411" s="15">
        <f t="shared" si="40"/>
        <v>314985.5</v>
      </c>
      <c r="W411" s="15">
        <f t="shared" si="41"/>
        <v>0</v>
      </c>
    </row>
    <row r="412" spans="1:23" ht="15" customHeight="1" x14ac:dyDescent="0.2">
      <c r="A412" s="14" t="s">
        <v>2648</v>
      </c>
      <c r="B412" s="14" t="s">
        <v>2649</v>
      </c>
      <c r="C412" s="14" t="s">
        <v>2049</v>
      </c>
      <c r="D412" s="14" t="s">
        <v>42</v>
      </c>
      <c r="E412" s="14" t="s">
        <v>2014</v>
      </c>
      <c r="F412" s="14">
        <v>1586</v>
      </c>
      <c r="G412" s="15">
        <v>371.15</v>
      </c>
      <c r="H412" s="16">
        <v>46007</v>
      </c>
      <c r="I412" s="16">
        <v>46438</v>
      </c>
      <c r="J412" s="16"/>
      <c r="K412" s="14" t="s">
        <v>2030</v>
      </c>
      <c r="L412" s="16">
        <f>IF(D412="Packaging","",IF(ISNUMBER(J412),J412,IF(ISNUMBER(I412),EDATE(I412,VLOOKUP(D412,Assumptions!$A$10:$B$16,2,0)),"")))</f>
        <v>46803</v>
      </c>
      <c r="M412" s="14">
        <f>IF(ISNUMBER(L412),L412-Assumptions!$B$5,"")</f>
        <v>781</v>
      </c>
      <c r="N412" s="17">
        <f t="shared" si="36"/>
        <v>0</v>
      </c>
      <c r="O412" s="14">
        <f>IF(COUNTIF(Assumptions!$A$25:$A$27,A412)&gt;0,1,0)</f>
        <v>0</v>
      </c>
      <c r="P412" s="14">
        <f>IF(COUNTIF(Assumptions!$B$25:$B$26,A412)&gt;0,1,0)</f>
        <v>0</v>
      </c>
      <c r="Q412" s="14">
        <f>IF(COUNTIF(Assumptions!$C$25:$C$25,A412)&gt;0,1,0)</f>
        <v>0</v>
      </c>
      <c r="R412" s="17">
        <f t="shared" si="37"/>
        <v>0</v>
      </c>
      <c r="S412" s="15" t="str">
        <f>IFERROR(VLOOKUP(A412,Assumptions!$A$31:$B$33,2,0),"")</f>
        <v/>
      </c>
      <c r="T412" s="15">
        <f t="shared" si="38"/>
        <v>371.15</v>
      </c>
      <c r="U412" s="15">
        <f t="shared" si="39"/>
        <v>588643.89999999991</v>
      </c>
      <c r="V412" s="15">
        <f t="shared" si="40"/>
        <v>588643.89999999991</v>
      </c>
      <c r="W412" s="15">
        <f t="shared" si="41"/>
        <v>0</v>
      </c>
    </row>
    <row r="413" spans="1:23" ht="15" customHeight="1" x14ac:dyDescent="0.2">
      <c r="A413" s="14" t="s">
        <v>2650</v>
      </c>
      <c r="B413" s="14" t="s">
        <v>2651</v>
      </c>
      <c r="C413" s="14" t="s">
        <v>2000</v>
      </c>
      <c r="D413" s="14" t="s">
        <v>45</v>
      </c>
      <c r="E413" s="14" t="s">
        <v>1993</v>
      </c>
      <c r="F413" s="14">
        <v>2302</v>
      </c>
      <c r="G413" s="15">
        <v>279.70999999999998</v>
      </c>
      <c r="H413" s="16">
        <v>46005</v>
      </c>
      <c r="I413" s="16">
        <v>46407</v>
      </c>
      <c r="J413" s="16"/>
      <c r="K413" s="14" t="s">
        <v>2052</v>
      </c>
      <c r="L413" s="16">
        <f>IF(D413="Packaging","",IF(ISNUMBER(J413),J413,IF(ISNUMBER(I413),EDATE(I413,VLOOKUP(D413,Assumptions!$A$10:$B$16,2,0)),"")))</f>
        <v>46588</v>
      </c>
      <c r="M413" s="14">
        <f>IF(ISNUMBER(L413),L413-Assumptions!$B$5,"")</f>
        <v>566</v>
      </c>
      <c r="N413" s="17">
        <f t="shared" si="36"/>
        <v>0</v>
      </c>
      <c r="O413" s="14">
        <f>IF(COUNTIF(Assumptions!$A$25:$A$27,A413)&gt;0,1,0)</f>
        <v>0</v>
      </c>
      <c r="P413" s="14">
        <f>IF(COUNTIF(Assumptions!$B$25:$B$26,A413)&gt;0,1,0)</f>
        <v>0</v>
      </c>
      <c r="Q413" s="14">
        <f>IF(COUNTIF(Assumptions!$C$25:$C$25,A413)&gt;0,1,0)</f>
        <v>0</v>
      </c>
      <c r="R413" s="17">
        <f t="shared" si="37"/>
        <v>0</v>
      </c>
      <c r="S413" s="15" t="str">
        <f>IFERROR(VLOOKUP(A413,Assumptions!$A$31:$B$33,2,0),"")</f>
        <v/>
      </c>
      <c r="T413" s="15">
        <f t="shared" si="38"/>
        <v>279.70999999999998</v>
      </c>
      <c r="U413" s="15">
        <f t="shared" si="39"/>
        <v>643892.41999999993</v>
      </c>
      <c r="V413" s="15">
        <f t="shared" si="40"/>
        <v>643892.41999999993</v>
      </c>
      <c r="W413" s="15">
        <f t="shared" si="41"/>
        <v>0</v>
      </c>
    </row>
    <row r="414" spans="1:23" ht="15" customHeight="1" x14ac:dyDescent="0.2">
      <c r="A414" s="14" t="s">
        <v>2652</v>
      </c>
      <c r="B414" s="14" t="s">
        <v>2653</v>
      </c>
      <c r="C414" s="14" t="s">
        <v>2066</v>
      </c>
      <c r="D414" s="14" t="s">
        <v>42</v>
      </c>
      <c r="E414" s="14" t="s">
        <v>2014</v>
      </c>
      <c r="F414" s="14">
        <v>1957</v>
      </c>
      <c r="G414" s="15">
        <v>81.88</v>
      </c>
      <c r="H414" s="16">
        <v>45980</v>
      </c>
      <c r="I414" s="16">
        <v>46424</v>
      </c>
      <c r="J414" s="16"/>
      <c r="K414" s="14" t="s">
        <v>2004</v>
      </c>
      <c r="L414" s="16">
        <f>IF(D414="Packaging","",IF(ISNUMBER(J414),J414,IF(ISNUMBER(I414),EDATE(I414,VLOOKUP(D414,Assumptions!$A$10:$B$16,2,0)),"")))</f>
        <v>46789</v>
      </c>
      <c r="M414" s="14">
        <f>IF(ISNUMBER(L414),L414-Assumptions!$B$5,"")</f>
        <v>767</v>
      </c>
      <c r="N414" s="17">
        <f t="shared" si="36"/>
        <v>0</v>
      </c>
      <c r="O414" s="14">
        <f>IF(COUNTIF(Assumptions!$A$25:$A$27,A414)&gt;0,1,0)</f>
        <v>0</v>
      </c>
      <c r="P414" s="14">
        <f>IF(COUNTIF(Assumptions!$B$25:$B$26,A414)&gt;0,1,0)</f>
        <v>0</v>
      </c>
      <c r="Q414" s="14">
        <f>IF(COUNTIF(Assumptions!$C$25:$C$25,A414)&gt;0,1,0)</f>
        <v>0</v>
      </c>
      <c r="R414" s="17">
        <f t="shared" si="37"/>
        <v>0</v>
      </c>
      <c r="S414" s="15" t="str">
        <f>IFERROR(VLOOKUP(A414,Assumptions!$A$31:$B$33,2,0),"")</f>
        <v/>
      </c>
      <c r="T414" s="15">
        <f t="shared" si="38"/>
        <v>81.88</v>
      </c>
      <c r="U414" s="15">
        <f t="shared" si="39"/>
        <v>160239.16</v>
      </c>
      <c r="V414" s="15">
        <f t="shared" si="40"/>
        <v>160239.16</v>
      </c>
      <c r="W414" s="15">
        <f t="shared" si="41"/>
        <v>0</v>
      </c>
    </row>
    <row r="415" spans="1:23" ht="15" customHeight="1" x14ac:dyDescent="0.2">
      <c r="A415" s="14" t="s">
        <v>2654</v>
      </c>
      <c r="B415" s="14" t="s">
        <v>2655</v>
      </c>
      <c r="C415" s="14" t="s">
        <v>2007</v>
      </c>
      <c r="D415" s="14" t="s">
        <v>47</v>
      </c>
      <c r="E415" s="14" t="s">
        <v>2037</v>
      </c>
      <c r="F415" s="14">
        <v>2946</v>
      </c>
      <c r="G415" s="15">
        <v>163.09</v>
      </c>
      <c r="H415" s="16">
        <v>45786</v>
      </c>
      <c r="I415" s="16">
        <v>45721</v>
      </c>
      <c r="J415" s="16"/>
      <c r="K415" s="14" t="s">
        <v>2021</v>
      </c>
      <c r="L415" s="16" t="str">
        <f>IF(D415="Packaging","",IF(ISNUMBER(J415),J415,IF(ISNUMBER(I415),EDATE(I415,VLOOKUP(D415,Assumptions!$A$10:$B$16,2,0)),"")))</f>
        <v/>
      </c>
      <c r="M415" s="14" t="str">
        <f>IF(ISNUMBER(L415),L415-Assumptions!$B$5,"")</f>
        <v/>
      </c>
      <c r="N415" s="17">
        <f t="shared" si="36"/>
        <v>0</v>
      </c>
      <c r="O415" s="14">
        <f>IF(COUNTIF(Assumptions!$A$25:$A$27,A415)&gt;0,1,0)</f>
        <v>0</v>
      </c>
      <c r="P415" s="14">
        <f>IF(COUNTIF(Assumptions!$B$25:$B$26,A415)&gt;0,1,0)</f>
        <v>0</v>
      </c>
      <c r="Q415" s="14">
        <f>IF(COUNTIF(Assumptions!$C$25:$C$25,A415)&gt;0,1,0)</f>
        <v>0</v>
      </c>
      <c r="R415" s="17">
        <f t="shared" si="37"/>
        <v>0</v>
      </c>
      <c r="S415" s="15" t="str">
        <f>IFERROR(VLOOKUP(A415,Assumptions!$A$31:$B$33,2,0),"")</f>
        <v/>
      </c>
      <c r="T415" s="15">
        <f t="shared" si="38"/>
        <v>163.09</v>
      </c>
      <c r="U415" s="15">
        <f t="shared" si="39"/>
        <v>480463.14</v>
      </c>
      <c r="V415" s="15">
        <f t="shared" si="40"/>
        <v>480463.14</v>
      </c>
      <c r="W415" s="15">
        <f t="shared" si="41"/>
        <v>0</v>
      </c>
    </row>
    <row r="416" spans="1:23" ht="15" customHeight="1" x14ac:dyDescent="0.2">
      <c r="A416" s="14" t="s">
        <v>2656</v>
      </c>
      <c r="B416" s="14" t="s">
        <v>2657</v>
      </c>
      <c r="C416" s="14" t="s">
        <v>2033</v>
      </c>
      <c r="D416" s="14" t="s">
        <v>47</v>
      </c>
      <c r="E416" s="14" t="s">
        <v>2037</v>
      </c>
      <c r="F416" s="14">
        <v>2595</v>
      </c>
      <c r="G416" s="15">
        <v>417.13</v>
      </c>
      <c r="H416" s="16">
        <v>45910</v>
      </c>
      <c r="I416" s="16">
        <v>45863</v>
      </c>
      <c r="J416" s="16"/>
      <c r="K416" s="14" t="s">
        <v>1989</v>
      </c>
      <c r="L416" s="16" t="str">
        <f>IF(D416="Packaging","",IF(ISNUMBER(J416),J416,IF(ISNUMBER(I416),EDATE(I416,VLOOKUP(D416,Assumptions!$A$10:$B$16,2,0)),"")))</f>
        <v/>
      </c>
      <c r="M416" s="14" t="str">
        <f>IF(ISNUMBER(L416),L416-Assumptions!$B$5,"")</f>
        <v/>
      </c>
      <c r="N416" s="17">
        <f t="shared" si="36"/>
        <v>0</v>
      </c>
      <c r="O416" s="14">
        <f>IF(COUNTIF(Assumptions!$A$25:$A$27,A416)&gt;0,1,0)</f>
        <v>0</v>
      </c>
      <c r="P416" s="14">
        <f>IF(COUNTIF(Assumptions!$B$25:$B$26,A416)&gt;0,1,0)</f>
        <v>0</v>
      </c>
      <c r="Q416" s="14">
        <f>IF(COUNTIF(Assumptions!$C$25:$C$25,A416)&gt;0,1,0)</f>
        <v>0</v>
      </c>
      <c r="R416" s="17">
        <f t="shared" si="37"/>
        <v>0</v>
      </c>
      <c r="S416" s="15" t="str">
        <f>IFERROR(VLOOKUP(A416,Assumptions!$A$31:$B$33,2,0),"")</f>
        <v/>
      </c>
      <c r="T416" s="15">
        <f t="shared" si="38"/>
        <v>417.13</v>
      </c>
      <c r="U416" s="15">
        <f t="shared" si="39"/>
        <v>1082452.3500000001</v>
      </c>
      <c r="V416" s="15">
        <f t="shared" si="40"/>
        <v>1082452.3500000001</v>
      </c>
      <c r="W416" s="15">
        <f t="shared" si="41"/>
        <v>0</v>
      </c>
    </row>
    <row r="417" spans="1:23" ht="15" customHeight="1" x14ac:dyDescent="0.2">
      <c r="A417" s="14" t="s">
        <v>2658</v>
      </c>
      <c r="B417" s="14" t="s">
        <v>2659</v>
      </c>
      <c r="C417" s="14" t="s">
        <v>2033</v>
      </c>
      <c r="D417" s="14" t="s">
        <v>47</v>
      </c>
      <c r="E417" s="14" t="s">
        <v>2037</v>
      </c>
      <c r="F417" s="14">
        <v>1941</v>
      </c>
      <c r="G417" s="15">
        <v>252.74</v>
      </c>
      <c r="H417" s="16">
        <v>45551</v>
      </c>
      <c r="I417" s="16">
        <v>45509</v>
      </c>
      <c r="J417" s="16"/>
      <c r="K417" s="14" t="s">
        <v>2004</v>
      </c>
      <c r="L417" s="16" t="str">
        <f>IF(D417="Packaging","",IF(ISNUMBER(J417),J417,IF(ISNUMBER(I417),EDATE(I417,VLOOKUP(D417,Assumptions!$A$10:$B$16,2,0)),"")))</f>
        <v/>
      </c>
      <c r="M417" s="14" t="str">
        <f>IF(ISNUMBER(L417),L417-Assumptions!$B$5,"")</f>
        <v/>
      </c>
      <c r="N417" s="17">
        <f t="shared" si="36"/>
        <v>0</v>
      </c>
      <c r="O417" s="14">
        <f>IF(COUNTIF(Assumptions!$A$25:$A$27,A417)&gt;0,1,0)</f>
        <v>0</v>
      </c>
      <c r="P417" s="14">
        <f>IF(COUNTIF(Assumptions!$B$25:$B$26,A417)&gt;0,1,0)</f>
        <v>0</v>
      </c>
      <c r="Q417" s="14">
        <f>IF(COUNTIF(Assumptions!$C$25:$C$25,A417)&gt;0,1,0)</f>
        <v>0</v>
      </c>
      <c r="R417" s="17">
        <f t="shared" si="37"/>
        <v>0</v>
      </c>
      <c r="S417" s="15" t="str">
        <f>IFERROR(VLOOKUP(A417,Assumptions!$A$31:$B$33,2,0),"")</f>
        <v/>
      </c>
      <c r="T417" s="15">
        <f t="shared" si="38"/>
        <v>252.74</v>
      </c>
      <c r="U417" s="15">
        <f t="shared" si="39"/>
        <v>490568.34</v>
      </c>
      <c r="V417" s="15">
        <f t="shared" si="40"/>
        <v>490568.34</v>
      </c>
      <c r="W417" s="15">
        <f t="shared" si="41"/>
        <v>0</v>
      </c>
    </row>
    <row r="418" spans="1:23" ht="15" customHeight="1" x14ac:dyDescent="0.2">
      <c r="A418" s="14" t="s">
        <v>511</v>
      </c>
      <c r="B418" s="14" t="s">
        <v>510</v>
      </c>
      <c r="C418" s="14" t="s">
        <v>2104</v>
      </c>
      <c r="D418" s="14" t="s">
        <v>36</v>
      </c>
      <c r="E418" s="14" t="s">
        <v>2014</v>
      </c>
      <c r="F418" s="14">
        <v>4520</v>
      </c>
      <c r="G418" s="15">
        <v>391.86</v>
      </c>
      <c r="H418" s="16">
        <v>45887</v>
      </c>
      <c r="I418" s="16">
        <v>45865</v>
      </c>
      <c r="J418" s="16">
        <v>46595</v>
      </c>
      <c r="K418" s="14" t="s">
        <v>1989</v>
      </c>
      <c r="L418" s="16">
        <f>IF(D418="Packaging","",IF(ISNUMBER(J418),J418,IF(ISNUMBER(I418),EDATE(I418,VLOOKUP(D418,Assumptions!$A$10:$B$16,2,0)),"")))</f>
        <v>46595</v>
      </c>
      <c r="M418" s="14">
        <f>IF(ISNUMBER(L418),L418-Assumptions!$B$5,"")</f>
        <v>573</v>
      </c>
      <c r="N418" s="17">
        <f t="shared" si="36"/>
        <v>0</v>
      </c>
      <c r="O418" s="14">
        <f>IF(COUNTIF(Assumptions!$A$25:$A$27,A418)&gt;0,1,0)</f>
        <v>0</v>
      </c>
      <c r="P418" s="14">
        <f>IF(COUNTIF(Assumptions!$B$25:$B$26,A418)&gt;0,1,0)</f>
        <v>0</v>
      </c>
      <c r="Q418" s="14">
        <f>IF(COUNTIF(Assumptions!$C$25:$C$25,A418)&gt;0,1,0)</f>
        <v>0</v>
      </c>
      <c r="R418" s="17">
        <f t="shared" si="37"/>
        <v>0</v>
      </c>
      <c r="S418" s="15" t="str">
        <f>IFERROR(VLOOKUP(A418,Assumptions!$A$31:$B$33,2,0),"")</f>
        <v/>
      </c>
      <c r="T418" s="15">
        <f t="shared" si="38"/>
        <v>391.86</v>
      </c>
      <c r="U418" s="15">
        <f t="shared" si="39"/>
        <v>1771207.2</v>
      </c>
      <c r="V418" s="15">
        <f t="shared" si="40"/>
        <v>1771207.2</v>
      </c>
      <c r="W418" s="15">
        <f t="shared" si="41"/>
        <v>0</v>
      </c>
    </row>
    <row r="419" spans="1:23" ht="15" customHeight="1" x14ac:dyDescent="0.2">
      <c r="A419" s="14" t="s">
        <v>2660</v>
      </c>
      <c r="B419" s="14" t="s">
        <v>2661</v>
      </c>
      <c r="C419" s="14" t="s">
        <v>2219</v>
      </c>
      <c r="D419" s="14" t="s">
        <v>42</v>
      </c>
      <c r="E419" s="14" t="s">
        <v>1988</v>
      </c>
      <c r="F419" s="14">
        <v>3560</v>
      </c>
      <c r="G419" s="15">
        <v>271.81</v>
      </c>
      <c r="H419" s="16">
        <v>45989</v>
      </c>
      <c r="I419" s="16">
        <v>45906</v>
      </c>
      <c r="J419" s="16">
        <v>46271</v>
      </c>
      <c r="K419" s="14" t="s">
        <v>1989</v>
      </c>
      <c r="L419" s="16">
        <f>IF(D419="Packaging","",IF(ISNUMBER(J419),J419,IF(ISNUMBER(I419),EDATE(I419,VLOOKUP(D419,Assumptions!$A$10:$B$16,2,0)),"")))</f>
        <v>46271</v>
      </c>
      <c r="M419" s="14">
        <f>IF(ISNUMBER(L419),L419-Assumptions!$B$5,"")</f>
        <v>249</v>
      </c>
      <c r="N419" s="17">
        <f t="shared" si="36"/>
        <v>0</v>
      </c>
      <c r="O419" s="14">
        <f>IF(COUNTIF(Assumptions!$A$25:$A$27,A419)&gt;0,1,0)</f>
        <v>0</v>
      </c>
      <c r="P419" s="14">
        <f>IF(COUNTIF(Assumptions!$B$25:$B$26,A419)&gt;0,1,0)</f>
        <v>0</v>
      </c>
      <c r="Q419" s="14">
        <f>IF(COUNTIF(Assumptions!$C$25:$C$25,A419)&gt;0,1,0)</f>
        <v>0</v>
      </c>
      <c r="R419" s="17">
        <f t="shared" si="37"/>
        <v>0</v>
      </c>
      <c r="S419" s="15" t="str">
        <f>IFERROR(VLOOKUP(A419,Assumptions!$A$31:$B$33,2,0),"")</f>
        <v/>
      </c>
      <c r="T419" s="15">
        <f t="shared" si="38"/>
        <v>271.81</v>
      </c>
      <c r="U419" s="15">
        <f t="shared" si="39"/>
        <v>967643.6</v>
      </c>
      <c r="V419" s="15">
        <f t="shared" si="40"/>
        <v>967643.6</v>
      </c>
      <c r="W419" s="15">
        <f t="shared" si="41"/>
        <v>0</v>
      </c>
    </row>
    <row r="420" spans="1:23" ht="15" customHeight="1" x14ac:dyDescent="0.2">
      <c r="A420" s="14" t="s">
        <v>2662</v>
      </c>
      <c r="B420" s="14" t="s">
        <v>2663</v>
      </c>
      <c r="C420" s="14" t="s">
        <v>2003</v>
      </c>
      <c r="D420" s="14" t="s">
        <v>46</v>
      </c>
      <c r="E420" s="14" t="s">
        <v>1988</v>
      </c>
      <c r="F420" s="14">
        <v>3608</v>
      </c>
      <c r="G420" s="15">
        <v>78.31</v>
      </c>
      <c r="H420" s="16">
        <v>45975</v>
      </c>
      <c r="I420" s="16">
        <v>46534</v>
      </c>
      <c r="J420" s="16"/>
      <c r="K420" s="14" t="s">
        <v>1989</v>
      </c>
      <c r="L420" s="16">
        <f>IF(D420="Packaging","",IF(ISNUMBER(J420),J420,IF(ISNUMBER(I420),EDATE(I420,VLOOKUP(D420,Assumptions!$A$10:$B$16,2,0)),"")))</f>
        <v>46810</v>
      </c>
      <c r="M420" s="14">
        <f>IF(ISNUMBER(L420),L420-Assumptions!$B$5,"")</f>
        <v>788</v>
      </c>
      <c r="N420" s="17">
        <f t="shared" si="36"/>
        <v>0</v>
      </c>
      <c r="O420" s="14">
        <f>IF(COUNTIF(Assumptions!$A$25:$A$27,A420)&gt;0,1,0)</f>
        <v>0</v>
      </c>
      <c r="P420" s="14">
        <f>IF(COUNTIF(Assumptions!$B$25:$B$26,A420)&gt;0,1,0)</f>
        <v>0</v>
      </c>
      <c r="Q420" s="14">
        <f>IF(COUNTIF(Assumptions!$C$25:$C$25,A420)&gt;0,1,0)</f>
        <v>0</v>
      </c>
      <c r="R420" s="17">
        <f t="shared" si="37"/>
        <v>0</v>
      </c>
      <c r="S420" s="15" t="str">
        <f>IFERROR(VLOOKUP(A420,Assumptions!$A$31:$B$33,2,0),"")</f>
        <v/>
      </c>
      <c r="T420" s="15">
        <f t="shared" si="38"/>
        <v>78.31</v>
      </c>
      <c r="U420" s="15">
        <f t="shared" si="39"/>
        <v>282542.48</v>
      </c>
      <c r="V420" s="15">
        <f t="shared" si="40"/>
        <v>282542.48</v>
      </c>
      <c r="W420" s="15">
        <f t="shared" si="41"/>
        <v>0</v>
      </c>
    </row>
    <row r="421" spans="1:23" ht="15" customHeight="1" x14ac:dyDescent="0.2">
      <c r="A421" s="14" t="s">
        <v>2664</v>
      </c>
      <c r="B421" s="14" t="s">
        <v>2665</v>
      </c>
      <c r="C421" s="14" t="s">
        <v>2094</v>
      </c>
      <c r="D421" s="14" t="s">
        <v>47</v>
      </c>
      <c r="E421" s="14" t="s">
        <v>2037</v>
      </c>
      <c r="F421" s="14">
        <v>2084</v>
      </c>
      <c r="G421" s="15">
        <v>161.6</v>
      </c>
      <c r="H421" s="16">
        <v>45684</v>
      </c>
      <c r="I421" s="16">
        <v>45615</v>
      </c>
      <c r="J421" s="16"/>
      <c r="K421" s="14" t="s">
        <v>2004</v>
      </c>
      <c r="L421" s="16" t="str">
        <f>IF(D421="Packaging","",IF(ISNUMBER(J421),J421,IF(ISNUMBER(I421),EDATE(I421,VLOOKUP(D421,Assumptions!$A$10:$B$16,2,0)),"")))</f>
        <v/>
      </c>
      <c r="M421" s="14" t="str">
        <f>IF(ISNUMBER(L421),L421-Assumptions!$B$5,"")</f>
        <v/>
      </c>
      <c r="N421" s="17">
        <f t="shared" si="36"/>
        <v>0</v>
      </c>
      <c r="O421" s="14">
        <f>IF(COUNTIF(Assumptions!$A$25:$A$27,A421)&gt;0,1,0)</f>
        <v>0</v>
      </c>
      <c r="P421" s="14">
        <f>IF(COUNTIF(Assumptions!$B$25:$B$26,A421)&gt;0,1,0)</f>
        <v>0</v>
      </c>
      <c r="Q421" s="14">
        <f>IF(COUNTIF(Assumptions!$C$25:$C$25,A421)&gt;0,1,0)</f>
        <v>0</v>
      </c>
      <c r="R421" s="17">
        <f t="shared" si="37"/>
        <v>0</v>
      </c>
      <c r="S421" s="15" t="str">
        <f>IFERROR(VLOOKUP(A421,Assumptions!$A$31:$B$33,2,0),"")</f>
        <v/>
      </c>
      <c r="T421" s="15">
        <f t="shared" si="38"/>
        <v>161.6</v>
      </c>
      <c r="U421" s="15">
        <f t="shared" si="39"/>
        <v>336774.39999999997</v>
      </c>
      <c r="V421" s="15">
        <f t="shared" si="40"/>
        <v>336774.39999999997</v>
      </c>
      <c r="W421" s="15">
        <f t="shared" si="41"/>
        <v>0</v>
      </c>
    </row>
    <row r="422" spans="1:23" ht="15" customHeight="1" x14ac:dyDescent="0.2">
      <c r="A422" s="14" t="s">
        <v>1082</v>
      </c>
      <c r="B422" s="14" t="s">
        <v>1081</v>
      </c>
      <c r="C422" s="14" t="s">
        <v>2119</v>
      </c>
      <c r="D422" s="14" t="s">
        <v>39</v>
      </c>
      <c r="E422" s="14" t="s">
        <v>1988</v>
      </c>
      <c r="F422" s="14">
        <v>1359</v>
      </c>
      <c r="G422" s="15">
        <v>257.10000000000002</v>
      </c>
      <c r="H422" s="16">
        <v>45275</v>
      </c>
      <c r="I422" s="16">
        <v>45253</v>
      </c>
      <c r="J422" s="16"/>
      <c r="K422" s="14" t="s">
        <v>2052</v>
      </c>
      <c r="L422" s="16">
        <f>IF(D422="Packaging","",IF(ISNUMBER(J422),J422,IF(ISNUMBER(I422),EDATE(I422,VLOOKUP(D422,Assumptions!$A$10:$B$16,2,0)),"")))</f>
        <v>46349</v>
      </c>
      <c r="M422" s="14">
        <f>IF(ISNUMBER(L422),L422-Assumptions!$B$5,"")</f>
        <v>327</v>
      </c>
      <c r="N422" s="17">
        <f t="shared" si="36"/>
        <v>0</v>
      </c>
      <c r="O422" s="14">
        <f>IF(COUNTIF(Assumptions!$A$25:$A$27,A422)&gt;0,1,0)</f>
        <v>0</v>
      </c>
      <c r="P422" s="14">
        <f>IF(COUNTIF(Assumptions!$B$25:$B$26,A422)&gt;0,1,0)</f>
        <v>0</v>
      </c>
      <c r="Q422" s="14">
        <f>IF(COUNTIF(Assumptions!$C$25:$C$25,A422)&gt;0,1,0)</f>
        <v>0</v>
      </c>
      <c r="R422" s="17">
        <f t="shared" si="37"/>
        <v>0</v>
      </c>
      <c r="S422" s="15" t="str">
        <f>IFERROR(VLOOKUP(A422,Assumptions!$A$31:$B$33,2,0),"")</f>
        <v/>
      </c>
      <c r="T422" s="15">
        <f t="shared" si="38"/>
        <v>257.10000000000002</v>
      </c>
      <c r="U422" s="15">
        <f t="shared" si="39"/>
        <v>349398.9</v>
      </c>
      <c r="V422" s="15">
        <f t="shared" si="40"/>
        <v>349398.9</v>
      </c>
      <c r="W422" s="15">
        <f t="shared" si="41"/>
        <v>0</v>
      </c>
    </row>
    <row r="423" spans="1:23" ht="15" customHeight="1" x14ac:dyDescent="0.2">
      <c r="A423" s="14" t="s">
        <v>2666</v>
      </c>
      <c r="B423" s="14" t="s">
        <v>2667</v>
      </c>
      <c r="C423" s="14" t="s">
        <v>2033</v>
      </c>
      <c r="D423" s="14" t="s">
        <v>47</v>
      </c>
      <c r="E423" s="14" t="s">
        <v>2014</v>
      </c>
      <c r="F423" s="14">
        <v>753</v>
      </c>
      <c r="G423" s="15">
        <v>41.57</v>
      </c>
      <c r="H423" s="16">
        <v>45515</v>
      </c>
      <c r="I423" s="16">
        <v>45499</v>
      </c>
      <c r="J423" s="16"/>
      <c r="K423" s="14" t="s">
        <v>1989</v>
      </c>
      <c r="L423" s="16" t="str">
        <f>IF(D423="Packaging","",IF(ISNUMBER(J423),J423,IF(ISNUMBER(I423),EDATE(I423,VLOOKUP(D423,Assumptions!$A$10:$B$16,2,0)),"")))</f>
        <v/>
      </c>
      <c r="M423" s="14" t="str">
        <f>IF(ISNUMBER(L423),L423-Assumptions!$B$5,"")</f>
        <v/>
      </c>
      <c r="N423" s="17">
        <f t="shared" si="36"/>
        <v>0</v>
      </c>
      <c r="O423" s="14">
        <f>IF(COUNTIF(Assumptions!$A$25:$A$27,A423)&gt;0,1,0)</f>
        <v>0</v>
      </c>
      <c r="P423" s="14">
        <f>IF(COUNTIF(Assumptions!$B$25:$B$26,A423)&gt;0,1,0)</f>
        <v>0</v>
      </c>
      <c r="Q423" s="14">
        <f>IF(COUNTIF(Assumptions!$C$25:$C$25,A423)&gt;0,1,0)</f>
        <v>0</v>
      </c>
      <c r="R423" s="17">
        <f t="shared" si="37"/>
        <v>0</v>
      </c>
      <c r="S423" s="15" t="str">
        <f>IFERROR(VLOOKUP(A423,Assumptions!$A$31:$B$33,2,0),"")</f>
        <v/>
      </c>
      <c r="T423" s="15">
        <f t="shared" si="38"/>
        <v>41.57</v>
      </c>
      <c r="U423" s="15">
        <f t="shared" si="39"/>
        <v>31302.21</v>
      </c>
      <c r="V423" s="15">
        <f t="shared" si="40"/>
        <v>31302.21</v>
      </c>
      <c r="W423" s="15">
        <f t="shared" si="41"/>
        <v>0</v>
      </c>
    </row>
    <row r="424" spans="1:23" ht="15" customHeight="1" x14ac:dyDescent="0.2">
      <c r="A424" s="14" t="s">
        <v>1105</v>
      </c>
      <c r="B424" s="14" t="s">
        <v>1104</v>
      </c>
      <c r="C424" s="14" t="s">
        <v>2043</v>
      </c>
      <c r="D424" s="14" t="s">
        <v>39</v>
      </c>
      <c r="E424" s="14" t="s">
        <v>2014</v>
      </c>
      <c r="F424" s="14">
        <v>3545</v>
      </c>
      <c r="G424" s="15">
        <v>184.43</v>
      </c>
      <c r="H424" s="16">
        <v>45336</v>
      </c>
      <c r="I424" s="16">
        <v>45299</v>
      </c>
      <c r="J424" s="16">
        <v>46395</v>
      </c>
      <c r="K424" s="14" t="s">
        <v>2004</v>
      </c>
      <c r="L424" s="16">
        <f>IF(D424="Packaging","",IF(ISNUMBER(J424),J424,IF(ISNUMBER(I424),EDATE(I424,VLOOKUP(D424,Assumptions!$A$10:$B$16,2,0)),"")))</f>
        <v>46395</v>
      </c>
      <c r="M424" s="14">
        <f>IF(ISNUMBER(L424),L424-Assumptions!$B$5,"")</f>
        <v>373</v>
      </c>
      <c r="N424" s="17">
        <f t="shared" si="36"/>
        <v>0</v>
      </c>
      <c r="O424" s="14">
        <f>IF(COUNTIF(Assumptions!$A$25:$A$27,A424)&gt;0,1,0)</f>
        <v>0</v>
      </c>
      <c r="P424" s="14">
        <f>IF(COUNTIF(Assumptions!$B$25:$B$26,A424)&gt;0,1,0)</f>
        <v>0</v>
      </c>
      <c r="Q424" s="14">
        <f>IF(COUNTIF(Assumptions!$C$25:$C$25,A424)&gt;0,1,0)</f>
        <v>0</v>
      </c>
      <c r="R424" s="17">
        <f t="shared" si="37"/>
        <v>0</v>
      </c>
      <c r="S424" s="15" t="str">
        <f>IFERROR(VLOOKUP(A424,Assumptions!$A$31:$B$33,2,0),"")</f>
        <v/>
      </c>
      <c r="T424" s="15">
        <f t="shared" si="38"/>
        <v>184.43</v>
      </c>
      <c r="U424" s="15">
        <f t="shared" si="39"/>
        <v>653804.35</v>
      </c>
      <c r="V424" s="15">
        <f t="shared" si="40"/>
        <v>653804.35</v>
      </c>
      <c r="W424" s="15">
        <f t="shared" si="41"/>
        <v>0</v>
      </c>
    </row>
    <row r="425" spans="1:23" ht="15" customHeight="1" x14ac:dyDescent="0.2">
      <c r="A425" s="14" t="s">
        <v>2668</v>
      </c>
      <c r="B425" s="14" t="s">
        <v>2669</v>
      </c>
      <c r="C425" s="14" t="s">
        <v>2003</v>
      </c>
      <c r="D425" s="14" t="s">
        <v>46</v>
      </c>
      <c r="E425" s="14" t="s">
        <v>1988</v>
      </c>
      <c r="F425" s="14">
        <v>3298</v>
      </c>
      <c r="G425" s="15">
        <v>370.89</v>
      </c>
      <c r="H425" s="16">
        <v>45972</v>
      </c>
      <c r="I425" s="16">
        <v>46430</v>
      </c>
      <c r="J425" s="16"/>
      <c r="K425" s="14" t="s">
        <v>1994</v>
      </c>
      <c r="L425" s="16">
        <f>IF(D425="Packaging","",IF(ISNUMBER(J425),J425,IF(ISNUMBER(I425),EDATE(I425,VLOOKUP(D425,Assumptions!$A$10:$B$16,2,0)),"")))</f>
        <v>46703</v>
      </c>
      <c r="M425" s="14">
        <f>IF(ISNUMBER(L425),L425-Assumptions!$B$5,"")</f>
        <v>681</v>
      </c>
      <c r="N425" s="17">
        <f t="shared" si="36"/>
        <v>0</v>
      </c>
      <c r="O425" s="14">
        <f>IF(COUNTIF(Assumptions!$A$25:$A$27,A425)&gt;0,1,0)</f>
        <v>0</v>
      </c>
      <c r="P425" s="14">
        <f>IF(COUNTIF(Assumptions!$B$25:$B$26,A425)&gt;0,1,0)</f>
        <v>0</v>
      </c>
      <c r="Q425" s="14">
        <f>IF(COUNTIF(Assumptions!$C$25:$C$25,A425)&gt;0,1,0)</f>
        <v>0</v>
      </c>
      <c r="R425" s="17">
        <f t="shared" si="37"/>
        <v>0</v>
      </c>
      <c r="S425" s="15" t="str">
        <f>IFERROR(VLOOKUP(A425,Assumptions!$A$31:$B$33,2,0),"")</f>
        <v/>
      </c>
      <c r="T425" s="15">
        <f t="shared" si="38"/>
        <v>370.89</v>
      </c>
      <c r="U425" s="15">
        <f t="shared" si="39"/>
        <v>1223195.22</v>
      </c>
      <c r="V425" s="15">
        <f t="shared" si="40"/>
        <v>1223195.22</v>
      </c>
      <c r="W425" s="15">
        <f t="shared" si="41"/>
        <v>0</v>
      </c>
    </row>
    <row r="426" spans="1:23" ht="15" customHeight="1" x14ac:dyDescent="0.2">
      <c r="A426" s="14" t="s">
        <v>1120</v>
      </c>
      <c r="B426" s="14" t="s">
        <v>1119</v>
      </c>
      <c r="C426" s="14" t="s">
        <v>2192</v>
      </c>
      <c r="D426" s="14" t="s">
        <v>39</v>
      </c>
      <c r="E426" s="14" t="s">
        <v>2037</v>
      </c>
      <c r="F426" s="14">
        <v>411</v>
      </c>
      <c r="G426" s="15">
        <v>112.1</v>
      </c>
      <c r="H426" s="16">
        <v>45290</v>
      </c>
      <c r="I426" s="16">
        <v>45231</v>
      </c>
      <c r="J426" s="16">
        <v>46327</v>
      </c>
      <c r="K426" s="14" t="s">
        <v>1994</v>
      </c>
      <c r="L426" s="16">
        <f>IF(D426="Packaging","",IF(ISNUMBER(J426),J426,IF(ISNUMBER(I426),EDATE(I426,VLOOKUP(D426,Assumptions!$A$10:$B$16,2,0)),"")))</f>
        <v>46327</v>
      </c>
      <c r="M426" s="14">
        <f>IF(ISNUMBER(L426),L426-Assumptions!$B$5,"")</f>
        <v>305</v>
      </c>
      <c r="N426" s="17">
        <f t="shared" si="36"/>
        <v>0</v>
      </c>
      <c r="O426" s="14">
        <f>IF(COUNTIF(Assumptions!$A$25:$A$27,A426)&gt;0,1,0)</f>
        <v>0</v>
      </c>
      <c r="P426" s="14">
        <f>IF(COUNTIF(Assumptions!$B$25:$B$26,A426)&gt;0,1,0)</f>
        <v>0</v>
      </c>
      <c r="Q426" s="14">
        <f>IF(COUNTIF(Assumptions!$C$25:$C$25,A426)&gt;0,1,0)</f>
        <v>0</v>
      </c>
      <c r="R426" s="17">
        <f t="shared" si="37"/>
        <v>0</v>
      </c>
      <c r="S426" s="15" t="str">
        <f>IFERROR(VLOOKUP(A426,Assumptions!$A$31:$B$33,2,0),"")</f>
        <v/>
      </c>
      <c r="T426" s="15">
        <f t="shared" si="38"/>
        <v>112.1</v>
      </c>
      <c r="U426" s="15">
        <f t="shared" si="39"/>
        <v>46073.1</v>
      </c>
      <c r="V426" s="15">
        <f t="shared" si="40"/>
        <v>46073.1</v>
      </c>
      <c r="W426" s="15">
        <f t="shared" si="41"/>
        <v>0</v>
      </c>
    </row>
    <row r="427" spans="1:23" ht="15" customHeight="1" x14ac:dyDescent="0.2">
      <c r="A427" s="14" t="s">
        <v>2670</v>
      </c>
      <c r="B427" s="14" t="s">
        <v>2671</v>
      </c>
      <c r="C427" s="14" t="s">
        <v>2219</v>
      </c>
      <c r="D427" s="14" t="s">
        <v>42</v>
      </c>
      <c r="E427" s="14" t="s">
        <v>1988</v>
      </c>
      <c r="F427" s="14">
        <v>3792</v>
      </c>
      <c r="G427" s="15">
        <v>386.64</v>
      </c>
      <c r="H427" s="16">
        <v>45963</v>
      </c>
      <c r="I427" s="16">
        <v>46470</v>
      </c>
      <c r="J427" s="16">
        <v>46836</v>
      </c>
      <c r="K427" s="14" t="s">
        <v>2052</v>
      </c>
      <c r="L427" s="16">
        <f>IF(D427="Packaging","",IF(ISNUMBER(J427),J427,IF(ISNUMBER(I427),EDATE(I427,VLOOKUP(D427,Assumptions!$A$10:$B$16,2,0)),"")))</f>
        <v>46836</v>
      </c>
      <c r="M427" s="14">
        <f>IF(ISNUMBER(L427),L427-Assumptions!$B$5,"")</f>
        <v>814</v>
      </c>
      <c r="N427" s="17">
        <f t="shared" si="36"/>
        <v>0</v>
      </c>
      <c r="O427" s="14">
        <f>IF(COUNTIF(Assumptions!$A$25:$A$27,A427)&gt;0,1,0)</f>
        <v>0</v>
      </c>
      <c r="P427" s="14">
        <f>IF(COUNTIF(Assumptions!$B$25:$B$26,A427)&gt;0,1,0)</f>
        <v>0</v>
      </c>
      <c r="Q427" s="14">
        <f>IF(COUNTIF(Assumptions!$C$25:$C$25,A427)&gt;0,1,0)</f>
        <v>0</v>
      </c>
      <c r="R427" s="17">
        <f t="shared" si="37"/>
        <v>0</v>
      </c>
      <c r="S427" s="15" t="str">
        <f>IFERROR(VLOOKUP(A427,Assumptions!$A$31:$B$33,2,0),"")</f>
        <v/>
      </c>
      <c r="T427" s="15">
        <f t="shared" si="38"/>
        <v>386.64</v>
      </c>
      <c r="U427" s="15">
        <f t="shared" si="39"/>
        <v>1466138.88</v>
      </c>
      <c r="V427" s="15">
        <f t="shared" si="40"/>
        <v>1466138.88</v>
      </c>
      <c r="W427" s="15">
        <f t="shared" si="41"/>
        <v>0</v>
      </c>
    </row>
    <row r="428" spans="1:23" ht="15" customHeight="1" x14ac:dyDescent="0.2">
      <c r="A428" s="14" t="s">
        <v>2672</v>
      </c>
      <c r="B428" s="14" t="s">
        <v>2673</v>
      </c>
      <c r="C428" s="14" t="s">
        <v>2042</v>
      </c>
      <c r="D428" s="14" t="s">
        <v>47</v>
      </c>
      <c r="E428" s="14" t="s">
        <v>1993</v>
      </c>
      <c r="F428" s="14">
        <v>3558</v>
      </c>
      <c r="G428" s="15">
        <v>235.56</v>
      </c>
      <c r="H428" s="16">
        <v>45463</v>
      </c>
      <c r="I428" s="16">
        <v>45418</v>
      </c>
      <c r="J428" s="16"/>
      <c r="K428" s="14" t="s">
        <v>2030</v>
      </c>
      <c r="L428" s="16" t="str">
        <f>IF(D428="Packaging","",IF(ISNUMBER(J428),J428,IF(ISNUMBER(I428),EDATE(I428,VLOOKUP(D428,Assumptions!$A$10:$B$16,2,0)),"")))</f>
        <v/>
      </c>
      <c r="M428" s="14" t="str">
        <f>IF(ISNUMBER(L428),L428-Assumptions!$B$5,"")</f>
        <v/>
      </c>
      <c r="N428" s="17">
        <f t="shared" si="36"/>
        <v>0</v>
      </c>
      <c r="O428" s="14">
        <f>IF(COUNTIF(Assumptions!$A$25:$A$27,A428)&gt;0,1,0)</f>
        <v>0</v>
      </c>
      <c r="P428" s="14">
        <f>IF(COUNTIF(Assumptions!$B$25:$B$26,A428)&gt;0,1,0)</f>
        <v>0</v>
      </c>
      <c r="Q428" s="14">
        <f>IF(COUNTIF(Assumptions!$C$25:$C$25,A428)&gt;0,1,0)</f>
        <v>0</v>
      </c>
      <c r="R428" s="17">
        <f t="shared" si="37"/>
        <v>0</v>
      </c>
      <c r="S428" s="15" t="str">
        <f>IFERROR(VLOOKUP(A428,Assumptions!$A$31:$B$33,2,0),"")</f>
        <v/>
      </c>
      <c r="T428" s="15">
        <f t="shared" si="38"/>
        <v>235.56</v>
      </c>
      <c r="U428" s="15">
        <f t="shared" si="39"/>
        <v>838122.48</v>
      </c>
      <c r="V428" s="15">
        <f t="shared" si="40"/>
        <v>838122.48</v>
      </c>
      <c r="W428" s="15">
        <f t="shared" si="41"/>
        <v>0</v>
      </c>
    </row>
    <row r="429" spans="1:23" ht="15" customHeight="1" x14ac:dyDescent="0.2">
      <c r="A429" s="14" t="s">
        <v>514</v>
      </c>
      <c r="B429" s="14" t="s">
        <v>513</v>
      </c>
      <c r="C429" s="14" t="s">
        <v>2018</v>
      </c>
      <c r="D429" s="14" t="s">
        <v>36</v>
      </c>
      <c r="E429" s="14" t="s">
        <v>2014</v>
      </c>
      <c r="F429" s="14">
        <v>2116</v>
      </c>
      <c r="G429" s="15">
        <v>416.05</v>
      </c>
      <c r="H429" s="16">
        <v>45810</v>
      </c>
      <c r="I429" s="16">
        <v>45784</v>
      </c>
      <c r="J429" s="16">
        <v>46514</v>
      </c>
      <c r="K429" s="14" t="s">
        <v>1989</v>
      </c>
      <c r="L429" s="16">
        <f>IF(D429="Packaging","",IF(ISNUMBER(J429),J429,IF(ISNUMBER(I429),EDATE(I429,VLOOKUP(D429,Assumptions!$A$10:$B$16,2,0)),"")))</f>
        <v>46514</v>
      </c>
      <c r="M429" s="14">
        <f>IF(ISNUMBER(L429),L429-Assumptions!$B$5,"")</f>
        <v>492</v>
      </c>
      <c r="N429" s="17">
        <f t="shared" si="36"/>
        <v>0</v>
      </c>
      <c r="O429" s="14">
        <f>IF(COUNTIF(Assumptions!$A$25:$A$27,A429)&gt;0,1,0)</f>
        <v>0</v>
      </c>
      <c r="P429" s="14">
        <f>IF(COUNTIF(Assumptions!$B$25:$B$26,A429)&gt;0,1,0)</f>
        <v>0</v>
      </c>
      <c r="Q429" s="14">
        <f>IF(COUNTIF(Assumptions!$C$25:$C$25,A429)&gt;0,1,0)</f>
        <v>0</v>
      </c>
      <c r="R429" s="17">
        <f t="shared" si="37"/>
        <v>0</v>
      </c>
      <c r="S429" s="15" t="str">
        <f>IFERROR(VLOOKUP(A429,Assumptions!$A$31:$B$33,2,0),"")</f>
        <v/>
      </c>
      <c r="T429" s="15">
        <f t="shared" si="38"/>
        <v>416.05</v>
      </c>
      <c r="U429" s="15">
        <f t="shared" si="39"/>
        <v>880361.8</v>
      </c>
      <c r="V429" s="15">
        <f t="shared" si="40"/>
        <v>880361.8</v>
      </c>
      <c r="W429" s="15">
        <f t="shared" si="41"/>
        <v>0</v>
      </c>
    </row>
    <row r="430" spans="1:23" ht="15" customHeight="1" x14ac:dyDescent="0.2">
      <c r="A430" s="14" t="s">
        <v>2674</v>
      </c>
      <c r="B430" s="14" t="s">
        <v>2675</v>
      </c>
      <c r="C430" s="14" t="s">
        <v>1992</v>
      </c>
      <c r="D430" s="14" t="s">
        <v>45</v>
      </c>
      <c r="E430" s="14" t="s">
        <v>2037</v>
      </c>
      <c r="F430" s="14">
        <v>3283</v>
      </c>
      <c r="G430" s="15">
        <v>63.55</v>
      </c>
      <c r="H430" s="16">
        <v>45993</v>
      </c>
      <c r="I430" s="16">
        <v>46296</v>
      </c>
      <c r="J430" s="16">
        <v>46478</v>
      </c>
      <c r="K430" s="14" t="s">
        <v>2021</v>
      </c>
      <c r="L430" s="16">
        <f>IF(D430="Packaging","",IF(ISNUMBER(J430),J430,IF(ISNUMBER(I430),EDATE(I430,VLOOKUP(D430,Assumptions!$A$10:$B$16,2,0)),"")))</f>
        <v>46478</v>
      </c>
      <c r="M430" s="14">
        <f>IF(ISNUMBER(L430),L430-Assumptions!$B$5,"")</f>
        <v>456</v>
      </c>
      <c r="N430" s="17">
        <f t="shared" si="36"/>
        <v>0</v>
      </c>
      <c r="O430" s="14">
        <f>IF(COUNTIF(Assumptions!$A$25:$A$27,A430)&gt;0,1,0)</f>
        <v>0</v>
      </c>
      <c r="P430" s="14">
        <f>IF(COUNTIF(Assumptions!$B$25:$B$26,A430)&gt;0,1,0)</f>
        <v>0</v>
      </c>
      <c r="Q430" s="14">
        <f>IF(COUNTIF(Assumptions!$C$25:$C$25,A430)&gt;0,1,0)</f>
        <v>0</v>
      </c>
      <c r="R430" s="17">
        <f t="shared" si="37"/>
        <v>0</v>
      </c>
      <c r="S430" s="15" t="str">
        <f>IFERROR(VLOOKUP(A430,Assumptions!$A$31:$B$33,2,0),"")</f>
        <v/>
      </c>
      <c r="T430" s="15">
        <f t="shared" si="38"/>
        <v>63.55</v>
      </c>
      <c r="U430" s="15">
        <f t="shared" si="39"/>
        <v>208634.65</v>
      </c>
      <c r="V430" s="15">
        <f t="shared" si="40"/>
        <v>208634.65</v>
      </c>
      <c r="W430" s="15">
        <f t="shared" si="41"/>
        <v>0</v>
      </c>
    </row>
    <row r="431" spans="1:23" ht="15" customHeight="1" x14ac:dyDescent="0.2">
      <c r="A431" s="14" t="s">
        <v>2676</v>
      </c>
      <c r="B431" s="14" t="s">
        <v>2677</v>
      </c>
      <c r="C431" s="14" t="s">
        <v>1992</v>
      </c>
      <c r="D431" s="14" t="s">
        <v>45</v>
      </c>
      <c r="E431" s="14" t="s">
        <v>1993</v>
      </c>
      <c r="F431" s="14">
        <v>4708</v>
      </c>
      <c r="G431" s="15">
        <v>314.04000000000002</v>
      </c>
      <c r="H431" s="16">
        <v>45990</v>
      </c>
      <c r="I431" s="16">
        <v>46111</v>
      </c>
      <c r="J431" s="16"/>
      <c r="K431" s="14" t="s">
        <v>1994</v>
      </c>
      <c r="L431" s="16">
        <f>IF(D431="Packaging","",IF(ISNUMBER(J431),J431,IF(ISNUMBER(I431),EDATE(I431,VLOOKUP(D431,Assumptions!$A$10:$B$16,2,0)),"")))</f>
        <v>46295</v>
      </c>
      <c r="M431" s="14">
        <f>IF(ISNUMBER(L431),L431-Assumptions!$B$5,"")</f>
        <v>273</v>
      </c>
      <c r="N431" s="17">
        <f t="shared" si="36"/>
        <v>0</v>
      </c>
      <c r="O431" s="14">
        <f>IF(COUNTIF(Assumptions!$A$25:$A$27,A431)&gt;0,1,0)</f>
        <v>0</v>
      </c>
      <c r="P431" s="14">
        <f>IF(COUNTIF(Assumptions!$B$25:$B$26,A431)&gt;0,1,0)</f>
        <v>0</v>
      </c>
      <c r="Q431" s="14">
        <f>IF(COUNTIF(Assumptions!$C$25:$C$25,A431)&gt;0,1,0)</f>
        <v>0</v>
      </c>
      <c r="R431" s="17">
        <f t="shared" si="37"/>
        <v>0</v>
      </c>
      <c r="S431" s="15" t="str">
        <f>IFERROR(VLOOKUP(A431,Assumptions!$A$31:$B$33,2,0),"")</f>
        <v/>
      </c>
      <c r="T431" s="15">
        <f t="shared" si="38"/>
        <v>314.04000000000002</v>
      </c>
      <c r="U431" s="15">
        <f t="shared" si="39"/>
        <v>1478500.32</v>
      </c>
      <c r="V431" s="15">
        <f t="shared" si="40"/>
        <v>1478500.32</v>
      </c>
      <c r="W431" s="15">
        <f t="shared" si="41"/>
        <v>0</v>
      </c>
    </row>
    <row r="432" spans="1:23" ht="15" customHeight="1" x14ac:dyDescent="0.2">
      <c r="A432" s="14" t="s">
        <v>1124</v>
      </c>
      <c r="B432" s="14" t="s">
        <v>1123</v>
      </c>
      <c r="C432" s="14" t="s">
        <v>2192</v>
      </c>
      <c r="D432" s="14" t="s">
        <v>39</v>
      </c>
      <c r="E432" s="14" t="s">
        <v>2014</v>
      </c>
      <c r="F432" s="14">
        <v>3104</v>
      </c>
      <c r="G432" s="15">
        <v>127.45</v>
      </c>
      <c r="H432" s="16">
        <v>45522</v>
      </c>
      <c r="I432" s="16">
        <v>45489</v>
      </c>
      <c r="J432" s="16">
        <v>46584</v>
      </c>
      <c r="K432" s="14" t="s">
        <v>2021</v>
      </c>
      <c r="L432" s="16">
        <f>IF(D432="Packaging","",IF(ISNUMBER(J432),J432,IF(ISNUMBER(I432),EDATE(I432,VLOOKUP(D432,Assumptions!$A$10:$B$16,2,0)),"")))</f>
        <v>46584</v>
      </c>
      <c r="M432" s="14">
        <f>IF(ISNUMBER(L432),L432-Assumptions!$B$5,"")</f>
        <v>562</v>
      </c>
      <c r="N432" s="17">
        <f t="shared" si="36"/>
        <v>0</v>
      </c>
      <c r="O432" s="14">
        <f>IF(COUNTIF(Assumptions!$A$25:$A$27,A432)&gt;0,1,0)</f>
        <v>0</v>
      </c>
      <c r="P432" s="14">
        <f>IF(COUNTIF(Assumptions!$B$25:$B$26,A432)&gt;0,1,0)</f>
        <v>0</v>
      </c>
      <c r="Q432" s="14">
        <f>IF(COUNTIF(Assumptions!$C$25:$C$25,A432)&gt;0,1,0)</f>
        <v>0</v>
      </c>
      <c r="R432" s="17">
        <f t="shared" si="37"/>
        <v>0</v>
      </c>
      <c r="S432" s="15" t="str">
        <f>IFERROR(VLOOKUP(A432,Assumptions!$A$31:$B$33,2,0),"")</f>
        <v/>
      </c>
      <c r="T432" s="15">
        <f t="shared" si="38"/>
        <v>127.45</v>
      </c>
      <c r="U432" s="15">
        <f t="shared" si="39"/>
        <v>395604.8</v>
      </c>
      <c r="V432" s="15">
        <f t="shared" si="40"/>
        <v>395604.8</v>
      </c>
      <c r="W432" s="15">
        <f t="shared" si="41"/>
        <v>0</v>
      </c>
    </row>
    <row r="433" spans="1:23" ht="15" customHeight="1" x14ac:dyDescent="0.2">
      <c r="A433" s="14" t="s">
        <v>1138</v>
      </c>
      <c r="B433" s="14" t="s">
        <v>1137</v>
      </c>
      <c r="C433" s="14" t="s">
        <v>2022</v>
      </c>
      <c r="D433" s="14" t="s">
        <v>39</v>
      </c>
      <c r="E433" s="14" t="s">
        <v>1993</v>
      </c>
      <c r="F433" s="14">
        <v>1028</v>
      </c>
      <c r="G433" s="15">
        <v>78.25</v>
      </c>
      <c r="H433" s="16">
        <v>45325</v>
      </c>
      <c r="I433" s="16">
        <v>45273</v>
      </c>
      <c r="J433" s="16">
        <v>46369</v>
      </c>
      <c r="K433" s="14" t="s">
        <v>2021</v>
      </c>
      <c r="L433" s="16">
        <f>IF(D433="Packaging","",IF(ISNUMBER(J433),J433,IF(ISNUMBER(I433),EDATE(I433,VLOOKUP(D433,Assumptions!$A$10:$B$16,2,0)),"")))</f>
        <v>46369</v>
      </c>
      <c r="M433" s="14">
        <f>IF(ISNUMBER(L433),L433-Assumptions!$B$5,"")</f>
        <v>347</v>
      </c>
      <c r="N433" s="17">
        <f t="shared" si="36"/>
        <v>0</v>
      </c>
      <c r="O433" s="14">
        <f>IF(COUNTIF(Assumptions!$A$25:$A$27,A433)&gt;0,1,0)</f>
        <v>0</v>
      </c>
      <c r="P433" s="14">
        <f>IF(COUNTIF(Assumptions!$B$25:$B$26,A433)&gt;0,1,0)</f>
        <v>0</v>
      </c>
      <c r="Q433" s="14">
        <f>IF(COUNTIF(Assumptions!$C$25:$C$25,A433)&gt;0,1,0)</f>
        <v>0</v>
      </c>
      <c r="R433" s="17">
        <f t="shared" si="37"/>
        <v>0</v>
      </c>
      <c r="S433" s="15" t="str">
        <f>IFERROR(VLOOKUP(A433,Assumptions!$A$31:$B$33,2,0),"")</f>
        <v/>
      </c>
      <c r="T433" s="15">
        <f t="shared" si="38"/>
        <v>78.25</v>
      </c>
      <c r="U433" s="15">
        <f t="shared" si="39"/>
        <v>80441</v>
      </c>
      <c r="V433" s="15">
        <f t="shared" si="40"/>
        <v>80441</v>
      </c>
      <c r="W433" s="15">
        <f t="shared" si="41"/>
        <v>0</v>
      </c>
    </row>
    <row r="434" spans="1:23" ht="15" customHeight="1" x14ac:dyDescent="0.2">
      <c r="A434" s="14" t="s">
        <v>2678</v>
      </c>
      <c r="B434" s="14" t="s">
        <v>2679</v>
      </c>
      <c r="C434" s="14" t="s">
        <v>1997</v>
      </c>
      <c r="D434" s="14" t="s">
        <v>45</v>
      </c>
      <c r="E434" s="14" t="s">
        <v>2037</v>
      </c>
      <c r="F434" s="14">
        <v>1732</v>
      </c>
      <c r="G434" s="15">
        <v>356.25</v>
      </c>
      <c r="H434" s="16">
        <v>46014</v>
      </c>
      <c r="I434" s="16">
        <v>46242</v>
      </c>
      <c r="J434" s="16">
        <v>46426</v>
      </c>
      <c r="K434" s="14" t="s">
        <v>2052</v>
      </c>
      <c r="L434" s="16">
        <f>IF(D434="Packaging","",IF(ISNUMBER(J434),J434,IF(ISNUMBER(I434),EDATE(I434,VLOOKUP(D434,Assumptions!$A$10:$B$16,2,0)),"")))</f>
        <v>46426</v>
      </c>
      <c r="M434" s="14">
        <f>IF(ISNUMBER(L434),L434-Assumptions!$B$5,"")</f>
        <v>404</v>
      </c>
      <c r="N434" s="17">
        <f t="shared" si="36"/>
        <v>0</v>
      </c>
      <c r="O434" s="14">
        <f>IF(COUNTIF(Assumptions!$A$25:$A$27,A434)&gt;0,1,0)</f>
        <v>0</v>
      </c>
      <c r="P434" s="14">
        <f>IF(COUNTIF(Assumptions!$B$25:$B$26,A434)&gt;0,1,0)</f>
        <v>0</v>
      </c>
      <c r="Q434" s="14">
        <f>IF(COUNTIF(Assumptions!$C$25:$C$25,A434)&gt;0,1,0)</f>
        <v>0</v>
      </c>
      <c r="R434" s="17">
        <f t="shared" si="37"/>
        <v>0</v>
      </c>
      <c r="S434" s="15" t="str">
        <f>IFERROR(VLOOKUP(A434,Assumptions!$A$31:$B$33,2,0),"")</f>
        <v/>
      </c>
      <c r="T434" s="15">
        <f t="shared" si="38"/>
        <v>356.25</v>
      </c>
      <c r="U434" s="15">
        <f t="shared" si="39"/>
        <v>617025</v>
      </c>
      <c r="V434" s="15">
        <f t="shared" si="40"/>
        <v>617025</v>
      </c>
      <c r="W434" s="15">
        <f t="shared" si="41"/>
        <v>0</v>
      </c>
    </row>
    <row r="435" spans="1:23" ht="15" customHeight="1" x14ac:dyDescent="0.2">
      <c r="A435" s="14" t="s">
        <v>2680</v>
      </c>
      <c r="B435" s="14" t="s">
        <v>2681</v>
      </c>
      <c r="C435" s="14" t="s">
        <v>2069</v>
      </c>
      <c r="D435" s="14" t="s">
        <v>47</v>
      </c>
      <c r="E435" s="14" t="s">
        <v>1988</v>
      </c>
      <c r="F435" s="14">
        <v>4301</v>
      </c>
      <c r="G435" s="15">
        <v>35.39</v>
      </c>
      <c r="H435" s="16">
        <v>45463</v>
      </c>
      <c r="I435" s="16">
        <v>45393</v>
      </c>
      <c r="J435" s="16"/>
      <c r="K435" s="14" t="s">
        <v>2052</v>
      </c>
      <c r="L435" s="16" t="str">
        <f>IF(D435="Packaging","",IF(ISNUMBER(J435),J435,IF(ISNUMBER(I435),EDATE(I435,VLOOKUP(D435,Assumptions!$A$10:$B$16,2,0)),"")))</f>
        <v/>
      </c>
      <c r="M435" s="14" t="str">
        <f>IF(ISNUMBER(L435),L435-Assumptions!$B$5,"")</f>
        <v/>
      </c>
      <c r="N435" s="17">
        <f t="shared" si="36"/>
        <v>0</v>
      </c>
      <c r="O435" s="14">
        <f>IF(COUNTIF(Assumptions!$A$25:$A$27,A435)&gt;0,1,0)</f>
        <v>0</v>
      </c>
      <c r="P435" s="14">
        <f>IF(COUNTIF(Assumptions!$B$25:$B$26,A435)&gt;0,1,0)</f>
        <v>0</v>
      </c>
      <c r="Q435" s="14">
        <f>IF(COUNTIF(Assumptions!$C$25:$C$25,A435)&gt;0,1,0)</f>
        <v>0</v>
      </c>
      <c r="R435" s="17">
        <f t="shared" si="37"/>
        <v>0</v>
      </c>
      <c r="S435" s="15" t="str">
        <f>IFERROR(VLOOKUP(A435,Assumptions!$A$31:$B$33,2,0),"")</f>
        <v/>
      </c>
      <c r="T435" s="15">
        <f t="shared" si="38"/>
        <v>35.39</v>
      </c>
      <c r="U435" s="15">
        <f t="shared" si="39"/>
        <v>152212.39000000001</v>
      </c>
      <c r="V435" s="15">
        <f t="shared" si="40"/>
        <v>152212.39000000001</v>
      </c>
      <c r="W435" s="15">
        <f t="shared" si="41"/>
        <v>0</v>
      </c>
    </row>
    <row r="436" spans="1:23" ht="15" customHeight="1" x14ac:dyDescent="0.2">
      <c r="A436" s="14" t="s">
        <v>1150</v>
      </c>
      <c r="B436" s="14" t="s">
        <v>1149</v>
      </c>
      <c r="C436" s="14" t="s">
        <v>2119</v>
      </c>
      <c r="D436" s="14" t="s">
        <v>39</v>
      </c>
      <c r="E436" s="14" t="s">
        <v>2037</v>
      </c>
      <c r="F436" s="14">
        <v>841</v>
      </c>
      <c r="G436" s="15">
        <v>49.3</v>
      </c>
      <c r="H436" s="16">
        <v>45224</v>
      </c>
      <c r="I436" s="16">
        <v>45136</v>
      </c>
      <c r="J436" s="16">
        <v>46232</v>
      </c>
      <c r="K436" s="14" t="s">
        <v>2030</v>
      </c>
      <c r="L436" s="16">
        <f>IF(D436="Packaging","",IF(ISNUMBER(J436),J436,IF(ISNUMBER(I436),EDATE(I436,VLOOKUP(D436,Assumptions!$A$10:$B$16,2,0)),"")))</f>
        <v>46232</v>
      </c>
      <c r="M436" s="14">
        <f>IF(ISNUMBER(L436),L436-Assumptions!$B$5,"")</f>
        <v>210</v>
      </c>
      <c r="N436" s="17">
        <f t="shared" si="36"/>
        <v>0</v>
      </c>
      <c r="O436" s="14">
        <f>IF(COUNTIF(Assumptions!$A$25:$A$27,A436)&gt;0,1,0)</f>
        <v>0</v>
      </c>
      <c r="P436" s="14">
        <f>IF(COUNTIF(Assumptions!$B$25:$B$26,A436)&gt;0,1,0)</f>
        <v>0</v>
      </c>
      <c r="Q436" s="14">
        <f>IF(COUNTIF(Assumptions!$C$25:$C$25,A436)&gt;0,1,0)</f>
        <v>0</v>
      </c>
      <c r="R436" s="17">
        <f t="shared" si="37"/>
        <v>0</v>
      </c>
      <c r="S436" s="15" t="str">
        <f>IFERROR(VLOOKUP(A436,Assumptions!$A$31:$B$33,2,0),"")</f>
        <v/>
      </c>
      <c r="T436" s="15">
        <f t="shared" si="38"/>
        <v>49.3</v>
      </c>
      <c r="U436" s="15">
        <f t="shared" si="39"/>
        <v>41461.299999999996</v>
      </c>
      <c r="V436" s="15">
        <f t="shared" si="40"/>
        <v>41461.299999999996</v>
      </c>
      <c r="W436" s="15">
        <f t="shared" si="41"/>
        <v>0</v>
      </c>
    </row>
    <row r="437" spans="1:23" ht="15" customHeight="1" x14ac:dyDescent="0.2">
      <c r="A437" s="14" t="s">
        <v>522</v>
      </c>
      <c r="B437" s="14" t="s">
        <v>521</v>
      </c>
      <c r="C437" s="14" t="s">
        <v>2137</v>
      </c>
      <c r="D437" s="14" t="s">
        <v>36</v>
      </c>
      <c r="E437" s="14" t="s">
        <v>2037</v>
      </c>
      <c r="F437" s="14">
        <v>3351</v>
      </c>
      <c r="G437" s="15">
        <v>222.09</v>
      </c>
      <c r="H437" s="16">
        <v>45643</v>
      </c>
      <c r="I437" s="16">
        <v>45632</v>
      </c>
      <c r="J437" s="16">
        <v>46362</v>
      </c>
      <c r="K437" s="14" t="s">
        <v>2030</v>
      </c>
      <c r="L437" s="16">
        <f>IF(D437="Packaging","",IF(ISNUMBER(J437),J437,IF(ISNUMBER(I437),EDATE(I437,VLOOKUP(D437,Assumptions!$A$10:$B$16,2,0)),"")))</f>
        <v>46362</v>
      </c>
      <c r="M437" s="14">
        <f>IF(ISNUMBER(L437),L437-Assumptions!$B$5,"")</f>
        <v>340</v>
      </c>
      <c r="N437" s="17">
        <f t="shared" si="36"/>
        <v>0</v>
      </c>
      <c r="O437" s="14">
        <f>IF(COUNTIF(Assumptions!$A$25:$A$27,A437)&gt;0,1,0)</f>
        <v>0</v>
      </c>
      <c r="P437" s="14">
        <f>IF(COUNTIF(Assumptions!$B$25:$B$26,A437)&gt;0,1,0)</f>
        <v>0</v>
      </c>
      <c r="Q437" s="14">
        <f>IF(COUNTIF(Assumptions!$C$25:$C$25,A437)&gt;0,1,0)</f>
        <v>0</v>
      </c>
      <c r="R437" s="17">
        <f t="shared" si="37"/>
        <v>0</v>
      </c>
      <c r="S437" s="15" t="str">
        <f>IFERROR(VLOOKUP(A437,Assumptions!$A$31:$B$33,2,0),"")</f>
        <v/>
      </c>
      <c r="T437" s="15">
        <f t="shared" si="38"/>
        <v>222.09</v>
      </c>
      <c r="U437" s="15">
        <f t="shared" si="39"/>
        <v>744223.59</v>
      </c>
      <c r="V437" s="15">
        <f t="shared" si="40"/>
        <v>744223.59</v>
      </c>
      <c r="W437" s="15">
        <f t="shared" si="41"/>
        <v>0</v>
      </c>
    </row>
    <row r="438" spans="1:23" ht="15" customHeight="1" x14ac:dyDescent="0.2">
      <c r="A438" s="14" t="s">
        <v>2682</v>
      </c>
      <c r="B438" s="14" t="s">
        <v>2683</v>
      </c>
      <c r="C438" s="14" t="s">
        <v>2061</v>
      </c>
      <c r="D438" s="14" t="s">
        <v>44</v>
      </c>
      <c r="E438" s="14" t="s">
        <v>1993</v>
      </c>
      <c r="F438" s="14">
        <v>2004</v>
      </c>
      <c r="G438" s="15">
        <v>251.23</v>
      </c>
      <c r="H438" s="16">
        <v>45986</v>
      </c>
      <c r="I438" s="16">
        <v>46242</v>
      </c>
      <c r="J438" s="16"/>
      <c r="K438" s="14" t="s">
        <v>2021</v>
      </c>
      <c r="L438" s="16">
        <f>IF(D438="Packaging","",IF(ISNUMBER(J438),J438,IF(ISNUMBER(I438),EDATE(I438,VLOOKUP(D438,Assumptions!$A$10:$B$16,2,0)),"")))</f>
        <v>46791</v>
      </c>
      <c r="M438" s="14">
        <f>IF(ISNUMBER(L438),L438-Assumptions!$B$5,"")</f>
        <v>769</v>
      </c>
      <c r="N438" s="17">
        <f t="shared" si="36"/>
        <v>0</v>
      </c>
      <c r="O438" s="14">
        <f>IF(COUNTIF(Assumptions!$A$25:$A$27,A438)&gt;0,1,0)</f>
        <v>0</v>
      </c>
      <c r="P438" s="14">
        <f>IF(COUNTIF(Assumptions!$B$25:$B$26,A438)&gt;0,1,0)</f>
        <v>0</v>
      </c>
      <c r="Q438" s="14">
        <f>IF(COUNTIF(Assumptions!$C$25:$C$25,A438)&gt;0,1,0)</f>
        <v>0</v>
      </c>
      <c r="R438" s="17">
        <f t="shared" si="37"/>
        <v>0</v>
      </c>
      <c r="S438" s="15" t="str">
        <f>IFERROR(VLOOKUP(A438,Assumptions!$A$31:$B$33,2,0),"")</f>
        <v/>
      </c>
      <c r="T438" s="15">
        <f t="shared" si="38"/>
        <v>251.23</v>
      </c>
      <c r="U438" s="15">
        <f t="shared" si="39"/>
        <v>503464.92</v>
      </c>
      <c r="V438" s="15">
        <f t="shared" si="40"/>
        <v>503464.92</v>
      </c>
      <c r="W438" s="15">
        <f t="shared" si="41"/>
        <v>0</v>
      </c>
    </row>
    <row r="439" spans="1:23" ht="15" customHeight="1" x14ac:dyDescent="0.2">
      <c r="A439" s="14" t="s">
        <v>2684</v>
      </c>
      <c r="B439" s="14" t="s">
        <v>2685</v>
      </c>
      <c r="C439" s="14" t="s">
        <v>2007</v>
      </c>
      <c r="D439" s="14" t="s">
        <v>47</v>
      </c>
      <c r="E439" s="14" t="s">
        <v>2037</v>
      </c>
      <c r="F439" s="14">
        <v>2877</v>
      </c>
      <c r="G439" s="15">
        <v>380.8</v>
      </c>
      <c r="H439" s="16">
        <v>45722</v>
      </c>
      <c r="I439" s="16">
        <v>45712</v>
      </c>
      <c r="J439" s="16"/>
      <c r="K439" s="14" t="s">
        <v>2015</v>
      </c>
      <c r="L439" s="16" t="str">
        <f>IF(D439="Packaging","",IF(ISNUMBER(J439),J439,IF(ISNUMBER(I439),EDATE(I439,VLOOKUP(D439,Assumptions!$A$10:$B$16,2,0)),"")))</f>
        <v/>
      </c>
      <c r="M439" s="14" t="str">
        <f>IF(ISNUMBER(L439),L439-Assumptions!$B$5,"")</f>
        <v/>
      </c>
      <c r="N439" s="17">
        <f t="shared" si="36"/>
        <v>0</v>
      </c>
      <c r="O439" s="14">
        <f>IF(COUNTIF(Assumptions!$A$25:$A$27,A439)&gt;0,1,0)</f>
        <v>0</v>
      </c>
      <c r="P439" s="14">
        <f>IF(COUNTIF(Assumptions!$B$25:$B$26,A439)&gt;0,1,0)</f>
        <v>0</v>
      </c>
      <c r="Q439" s="14">
        <f>IF(COUNTIF(Assumptions!$C$25:$C$25,A439)&gt;0,1,0)</f>
        <v>0</v>
      </c>
      <c r="R439" s="17">
        <f t="shared" si="37"/>
        <v>0</v>
      </c>
      <c r="S439" s="15" t="str">
        <f>IFERROR(VLOOKUP(A439,Assumptions!$A$31:$B$33,2,0),"")</f>
        <v/>
      </c>
      <c r="T439" s="15">
        <f t="shared" si="38"/>
        <v>380.8</v>
      </c>
      <c r="U439" s="15">
        <f t="shared" si="39"/>
        <v>1095561.6000000001</v>
      </c>
      <c r="V439" s="15">
        <f t="shared" si="40"/>
        <v>1095561.6000000001</v>
      </c>
      <c r="W439" s="15">
        <f t="shared" si="41"/>
        <v>0</v>
      </c>
    </row>
    <row r="440" spans="1:23" ht="15" customHeight="1" x14ac:dyDescent="0.2">
      <c r="A440" s="14" t="s">
        <v>1259</v>
      </c>
      <c r="B440" s="14" t="s">
        <v>1258</v>
      </c>
      <c r="C440" s="14" t="s">
        <v>2108</v>
      </c>
      <c r="D440" s="14" t="s">
        <v>39</v>
      </c>
      <c r="E440" s="14" t="s">
        <v>2037</v>
      </c>
      <c r="F440" s="14">
        <v>4494</v>
      </c>
      <c r="G440" s="15">
        <v>73.569999999999993</v>
      </c>
      <c r="H440" s="16">
        <v>45391</v>
      </c>
      <c r="I440" s="16">
        <v>45363</v>
      </c>
      <c r="J440" s="16">
        <v>46458</v>
      </c>
      <c r="K440" s="14" t="s">
        <v>1994</v>
      </c>
      <c r="L440" s="16">
        <f>IF(D440="Packaging","",IF(ISNUMBER(J440),J440,IF(ISNUMBER(I440),EDATE(I440,VLOOKUP(D440,Assumptions!$A$10:$B$16,2,0)),"")))</f>
        <v>46458</v>
      </c>
      <c r="M440" s="14">
        <f>IF(ISNUMBER(L440),L440-Assumptions!$B$5,"")</f>
        <v>436</v>
      </c>
      <c r="N440" s="17">
        <f t="shared" si="36"/>
        <v>0</v>
      </c>
      <c r="O440" s="14">
        <f>IF(COUNTIF(Assumptions!$A$25:$A$27,A440)&gt;0,1,0)</f>
        <v>0</v>
      </c>
      <c r="P440" s="14">
        <f>IF(COUNTIF(Assumptions!$B$25:$B$26,A440)&gt;0,1,0)</f>
        <v>0</v>
      </c>
      <c r="Q440" s="14">
        <f>IF(COUNTIF(Assumptions!$C$25:$C$25,A440)&gt;0,1,0)</f>
        <v>0</v>
      </c>
      <c r="R440" s="17">
        <f t="shared" si="37"/>
        <v>0</v>
      </c>
      <c r="S440" s="15" t="str">
        <f>IFERROR(VLOOKUP(A440,Assumptions!$A$31:$B$33,2,0),"")</f>
        <v/>
      </c>
      <c r="T440" s="15">
        <f t="shared" si="38"/>
        <v>73.569999999999993</v>
      </c>
      <c r="U440" s="15">
        <f t="shared" si="39"/>
        <v>330623.57999999996</v>
      </c>
      <c r="V440" s="15">
        <f t="shared" si="40"/>
        <v>330623.57999999996</v>
      </c>
      <c r="W440" s="15">
        <f t="shared" si="41"/>
        <v>0</v>
      </c>
    </row>
    <row r="441" spans="1:23" ht="15" customHeight="1" x14ac:dyDescent="0.2">
      <c r="A441" s="14" t="s">
        <v>2686</v>
      </c>
      <c r="B441" s="14" t="s">
        <v>2687</v>
      </c>
      <c r="C441" s="14" t="s">
        <v>2003</v>
      </c>
      <c r="D441" s="14" t="s">
        <v>46</v>
      </c>
      <c r="E441" s="14" t="s">
        <v>1988</v>
      </c>
      <c r="F441" s="14">
        <v>671</v>
      </c>
      <c r="G441" s="15">
        <v>263.87</v>
      </c>
      <c r="H441" s="16">
        <v>45967</v>
      </c>
      <c r="I441" s="16">
        <v>46206</v>
      </c>
      <c r="J441" s="16"/>
      <c r="K441" s="14" t="s">
        <v>2015</v>
      </c>
      <c r="L441" s="16">
        <f>IF(D441="Packaging","",IF(ISNUMBER(J441),J441,IF(ISNUMBER(I441),EDATE(I441,VLOOKUP(D441,Assumptions!$A$10:$B$16,2,0)),"")))</f>
        <v>46480</v>
      </c>
      <c r="M441" s="14">
        <f>IF(ISNUMBER(L441),L441-Assumptions!$B$5,"")</f>
        <v>458</v>
      </c>
      <c r="N441" s="17">
        <f t="shared" si="36"/>
        <v>0</v>
      </c>
      <c r="O441" s="14">
        <f>IF(COUNTIF(Assumptions!$A$25:$A$27,A441)&gt;0,1,0)</f>
        <v>0</v>
      </c>
      <c r="P441" s="14">
        <f>IF(COUNTIF(Assumptions!$B$25:$B$26,A441)&gt;0,1,0)</f>
        <v>0</v>
      </c>
      <c r="Q441" s="14">
        <f>IF(COUNTIF(Assumptions!$C$25:$C$25,A441)&gt;0,1,0)</f>
        <v>0</v>
      </c>
      <c r="R441" s="17">
        <f t="shared" si="37"/>
        <v>0</v>
      </c>
      <c r="S441" s="15" t="str">
        <f>IFERROR(VLOOKUP(A441,Assumptions!$A$31:$B$33,2,0),"")</f>
        <v/>
      </c>
      <c r="T441" s="15">
        <f t="shared" si="38"/>
        <v>263.87</v>
      </c>
      <c r="U441" s="15">
        <f t="shared" si="39"/>
        <v>177056.77</v>
      </c>
      <c r="V441" s="15">
        <f t="shared" si="40"/>
        <v>177056.77</v>
      </c>
      <c r="W441" s="15">
        <f t="shared" si="41"/>
        <v>0</v>
      </c>
    </row>
    <row r="442" spans="1:23" ht="15" customHeight="1" x14ac:dyDescent="0.2">
      <c r="A442" s="14" t="s">
        <v>2688</v>
      </c>
      <c r="B442" s="14" t="s">
        <v>2689</v>
      </c>
      <c r="C442" s="14" t="s">
        <v>1992</v>
      </c>
      <c r="D442" s="14" t="s">
        <v>45</v>
      </c>
      <c r="E442" s="14" t="s">
        <v>1988</v>
      </c>
      <c r="F442" s="14">
        <v>2949</v>
      </c>
      <c r="G442" s="15">
        <v>96.39</v>
      </c>
      <c r="H442" s="16">
        <v>45983</v>
      </c>
      <c r="I442" s="16">
        <v>46166</v>
      </c>
      <c r="J442" s="16"/>
      <c r="K442" s="14" t="s">
        <v>2015</v>
      </c>
      <c r="L442" s="16">
        <f>IF(D442="Packaging","",IF(ISNUMBER(J442),J442,IF(ISNUMBER(I442),EDATE(I442,VLOOKUP(D442,Assumptions!$A$10:$B$16,2,0)),"")))</f>
        <v>46350</v>
      </c>
      <c r="M442" s="14">
        <f>IF(ISNUMBER(L442),L442-Assumptions!$B$5,"")</f>
        <v>328</v>
      </c>
      <c r="N442" s="17">
        <f t="shared" si="36"/>
        <v>0</v>
      </c>
      <c r="O442" s="14">
        <f>IF(COUNTIF(Assumptions!$A$25:$A$27,A442)&gt;0,1,0)</f>
        <v>0</v>
      </c>
      <c r="P442" s="14">
        <f>IF(COUNTIF(Assumptions!$B$25:$B$26,A442)&gt;0,1,0)</f>
        <v>0</v>
      </c>
      <c r="Q442" s="14">
        <f>IF(COUNTIF(Assumptions!$C$25:$C$25,A442)&gt;0,1,0)</f>
        <v>0</v>
      </c>
      <c r="R442" s="17">
        <f t="shared" si="37"/>
        <v>0</v>
      </c>
      <c r="S442" s="15" t="str">
        <f>IFERROR(VLOOKUP(A442,Assumptions!$A$31:$B$33,2,0),"")</f>
        <v/>
      </c>
      <c r="T442" s="15">
        <f t="shared" si="38"/>
        <v>96.39</v>
      </c>
      <c r="U442" s="15">
        <f t="shared" si="39"/>
        <v>284254.11</v>
      </c>
      <c r="V442" s="15">
        <f t="shared" si="40"/>
        <v>284254.11</v>
      </c>
      <c r="W442" s="15">
        <f t="shared" si="41"/>
        <v>0</v>
      </c>
    </row>
    <row r="443" spans="1:23" ht="15" customHeight="1" x14ac:dyDescent="0.2">
      <c r="A443" s="14" t="s">
        <v>2690</v>
      </c>
      <c r="B443" s="14" t="s">
        <v>2691</v>
      </c>
      <c r="C443" s="14" t="s">
        <v>2027</v>
      </c>
      <c r="D443" s="14" t="s">
        <v>44</v>
      </c>
      <c r="E443" s="14" t="s">
        <v>1993</v>
      </c>
      <c r="F443" s="14">
        <v>4746</v>
      </c>
      <c r="G443" s="15">
        <v>406.56</v>
      </c>
      <c r="H443" s="16">
        <v>45989</v>
      </c>
      <c r="I443" s="16">
        <v>46083</v>
      </c>
      <c r="J443" s="16"/>
      <c r="K443" s="14" t="s">
        <v>2030</v>
      </c>
      <c r="L443" s="16">
        <f>IF(D443="Packaging","",IF(ISNUMBER(J443),J443,IF(ISNUMBER(I443),EDATE(I443,VLOOKUP(D443,Assumptions!$A$10:$B$16,2,0)),"")))</f>
        <v>46632</v>
      </c>
      <c r="M443" s="14">
        <f>IF(ISNUMBER(L443),L443-Assumptions!$B$5,"")</f>
        <v>610</v>
      </c>
      <c r="N443" s="17">
        <f t="shared" si="36"/>
        <v>0</v>
      </c>
      <c r="O443" s="14">
        <f>IF(COUNTIF(Assumptions!$A$25:$A$27,A443)&gt;0,1,0)</f>
        <v>0</v>
      </c>
      <c r="P443" s="14">
        <f>IF(COUNTIF(Assumptions!$B$25:$B$26,A443)&gt;0,1,0)</f>
        <v>0</v>
      </c>
      <c r="Q443" s="14">
        <f>IF(COUNTIF(Assumptions!$C$25:$C$25,A443)&gt;0,1,0)</f>
        <v>0</v>
      </c>
      <c r="R443" s="17">
        <f t="shared" si="37"/>
        <v>0</v>
      </c>
      <c r="S443" s="15" t="str">
        <f>IFERROR(VLOOKUP(A443,Assumptions!$A$31:$B$33,2,0),"")</f>
        <v/>
      </c>
      <c r="T443" s="15">
        <f t="shared" si="38"/>
        <v>406.56</v>
      </c>
      <c r="U443" s="15">
        <f t="shared" si="39"/>
        <v>1929533.76</v>
      </c>
      <c r="V443" s="15">
        <f t="shared" si="40"/>
        <v>1929533.76</v>
      </c>
      <c r="W443" s="15">
        <f t="shared" si="41"/>
        <v>0</v>
      </c>
    </row>
    <row r="444" spans="1:23" ht="15" customHeight="1" x14ac:dyDescent="0.2">
      <c r="A444" s="14" t="s">
        <v>2692</v>
      </c>
      <c r="B444" s="14" t="s">
        <v>2693</v>
      </c>
      <c r="C444" s="14" t="s">
        <v>2010</v>
      </c>
      <c r="D444" s="14" t="s">
        <v>46</v>
      </c>
      <c r="E444" s="14" t="s">
        <v>2037</v>
      </c>
      <c r="F444" s="14">
        <v>1017</v>
      </c>
      <c r="G444" s="15">
        <v>184.4</v>
      </c>
      <c r="H444" s="16">
        <v>45994</v>
      </c>
      <c r="I444" s="16">
        <v>46298</v>
      </c>
      <c r="J444" s="16"/>
      <c r="K444" s="14" t="s">
        <v>1989</v>
      </c>
      <c r="L444" s="16">
        <f>IF(D444="Packaging","",IF(ISNUMBER(J444),J444,IF(ISNUMBER(I444),EDATE(I444,VLOOKUP(D444,Assumptions!$A$10:$B$16,2,0)),"")))</f>
        <v>46571</v>
      </c>
      <c r="M444" s="14">
        <f>IF(ISNUMBER(L444),L444-Assumptions!$B$5,"")</f>
        <v>549</v>
      </c>
      <c r="N444" s="17">
        <f t="shared" si="36"/>
        <v>0</v>
      </c>
      <c r="O444" s="14">
        <f>IF(COUNTIF(Assumptions!$A$25:$A$27,A444)&gt;0,1,0)</f>
        <v>0</v>
      </c>
      <c r="P444" s="14">
        <f>IF(COUNTIF(Assumptions!$B$25:$B$26,A444)&gt;0,1,0)</f>
        <v>0</v>
      </c>
      <c r="Q444" s="14">
        <f>IF(COUNTIF(Assumptions!$C$25:$C$25,A444)&gt;0,1,0)</f>
        <v>0</v>
      </c>
      <c r="R444" s="17">
        <f t="shared" si="37"/>
        <v>0</v>
      </c>
      <c r="S444" s="15" t="str">
        <f>IFERROR(VLOOKUP(A444,Assumptions!$A$31:$B$33,2,0),"")</f>
        <v/>
      </c>
      <c r="T444" s="15">
        <f t="shared" si="38"/>
        <v>184.4</v>
      </c>
      <c r="U444" s="15">
        <f t="shared" si="39"/>
        <v>187534.80000000002</v>
      </c>
      <c r="V444" s="15">
        <f t="shared" si="40"/>
        <v>187534.80000000002</v>
      </c>
      <c r="W444" s="15">
        <f t="shared" si="41"/>
        <v>0</v>
      </c>
    </row>
    <row r="445" spans="1:23" ht="15" customHeight="1" x14ac:dyDescent="0.2">
      <c r="A445" s="14" t="s">
        <v>2694</v>
      </c>
      <c r="B445" s="14" t="s">
        <v>2695</v>
      </c>
      <c r="C445" s="14" t="s">
        <v>1997</v>
      </c>
      <c r="D445" s="14" t="s">
        <v>45</v>
      </c>
      <c r="E445" s="14" t="s">
        <v>2014</v>
      </c>
      <c r="F445" s="14">
        <v>2719</v>
      </c>
      <c r="G445" s="15">
        <v>387.66</v>
      </c>
      <c r="H445" s="16">
        <v>46002</v>
      </c>
      <c r="I445" s="16">
        <v>46067</v>
      </c>
      <c r="J445" s="16">
        <v>46248</v>
      </c>
      <c r="K445" s="14" t="s">
        <v>2021</v>
      </c>
      <c r="L445" s="16">
        <f>IF(D445="Packaging","",IF(ISNUMBER(J445),J445,IF(ISNUMBER(I445),EDATE(I445,VLOOKUP(D445,Assumptions!$A$10:$B$16,2,0)),"")))</f>
        <v>46248</v>
      </c>
      <c r="M445" s="14">
        <f>IF(ISNUMBER(L445),L445-Assumptions!$B$5,"")</f>
        <v>226</v>
      </c>
      <c r="N445" s="17">
        <f t="shared" si="36"/>
        <v>0</v>
      </c>
      <c r="O445" s="14">
        <f>IF(COUNTIF(Assumptions!$A$25:$A$27,A445)&gt;0,1,0)</f>
        <v>0</v>
      </c>
      <c r="P445" s="14">
        <f>IF(COUNTIF(Assumptions!$B$25:$B$26,A445)&gt;0,1,0)</f>
        <v>0</v>
      </c>
      <c r="Q445" s="14">
        <f>IF(COUNTIF(Assumptions!$C$25:$C$25,A445)&gt;0,1,0)</f>
        <v>0</v>
      </c>
      <c r="R445" s="17">
        <f t="shared" si="37"/>
        <v>0</v>
      </c>
      <c r="S445" s="15" t="str">
        <f>IFERROR(VLOOKUP(A445,Assumptions!$A$31:$B$33,2,0),"")</f>
        <v/>
      </c>
      <c r="T445" s="15">
        <f t="shared" si="38"/>
        <v>387.66</v>
      </c>
      <c r="U445" s="15">
        <f t="shared" si="39"/>
        <v>1054047.54</v>
      </c>
      <c r="V445" s="15">
        <f t="shared" si="40"/>
        <v>1054047.54</v>
      </c>
      <c r="W445" s="15">
        <f t="shared" si="41"/>
        <v>0</v>
      </c>
    </row>
    <row r="446" spans="1:23" ht="15" customHeight="1" x14ac:dyDescent="0.2">
      <c r="A446" s="14" t="s">
        <v>2696</v>
      </c>
      <c r="B446" s="14" t="s">
        <v>2697</v>
      </c>
      <c r="C446" s="14" t="s">
        <v>2046</v>
      </c>
      <c r="D446" s="14" t="s">
        <v>42</v>
      </c>
      <c r="E446" s="14" t="s">
        <v>2037</v>
      </c>
      <c r="F446" s="14">
        <v>4734</v>
      </c>
      <c r="G446" s="15">
        <v>313.47000000000003</v>
      </c>
      <c r="H446" s="16">
        <v>45968</v>
      </c>
      <c r="I446" s="16">
        <v>46232</v>
      </c>
      <c r="J446" s="16">
        <v>46597</v>
      </c>
      <c r="K446" s="14" t="s">
        <v>2015</v>
      </c>
      <c r="L446" s="16">
        <f>IF(D446="Packaging","",IF(ISNUMBER(J446),J446,IF(ISNUMBER(I446),EDATE(I446,VLOOKUP(D446,Assumptions!$A$10:$B$16,2,0)),"")))</f>
        <v>46597</v>
      </c>
      <c r="M446" s="14">
        <f>IF(ISNUMBER(L446),L446-Assumptions!$B$5,"")</f>
        <v>575</v>
      </c>
      <c r="N446" s="17">
        <f t="shared" si="36"/>
        <v>0</v>
      </c>
      <c r="O446" s="14">
        <f>IF(COUNTIF(Assumptions!$A$25:$A$27,A446)&gt;0,1,0)</f>
        <v>0</v>
      </c>
      <c r="P446" s="14">
        <f>IF(COUNTIF(Assumptions!$B$25:$B$26,A446)&gt;0,1,0)</f>
        <v>0</v>
      </c>
      <c r="Q446" s="14">
        <f>IF(COUNTIF(Assumptions!$C$25:$C$25,A446)&gt;0,1,0)</f>
        <v>0</v>
      </c>
      <c r="R446" s="17">
        <f t="shared" si="37"/>
        <v>0</v>
      </c>
      <c r="S446" s="15" t="str">
        <f>IFERROR(VLOOKUP(A446,Assumptions!$A$31:$B$33,2,0),"")</f>
        <v/>
      </c>
      <c r="T446" s="15">
        <f t="shared" si="38"/>
        <v>313.47000000000003</v>
      </c>
      <c r="U446" s="15">
        <f t="shared" si="39"/>
        <v>1483966.9800000002</v>
      </c>
      <c r="V446" s="15">
        <f t="shared" si="40"/>
        <v>1483966.9800000002</v>
      </c>
      <c r="W446" s="15">
        <f t="shared" si="41"/>
        <v>0</v>
      </c>
    </row>
    <row r="447" spans="1:23" ht="15" customHeight="1" x14ac:dyDescent="0.2">
      <c r="A447" s="14" t="s">
        <v>537</v>
      </c>
      <c r="B447" s="14" t="s">
        <v>536</v>
      </c>
      <c r="C447" s="14" t="s">
        <v>2137</v>
      </c>
      <c r="D447" s="14" t="s">
        <v>36</v>
      </c>
      <c r="E447" s="14" t="s">
        <v>1993</v>
      </c>
      <c r="F447" s="14">
        <v>2450</v>
      </c>
      <c r="G447" s="15">
        <v>290.67</v>
      </c>
      <c r="H447" s="16">
        <v>45802</v>
      </c>
      <c r="I447" s="16">
        <v>45781</v>
      </c>
      <c r="J447" s="16"/>
      <c r="K447" s="14" t="s">
        <v>2015</v>
      </c>
      <c r="L447" s="16">
        <f>IF(D447="Packaging","",IF(ISNUMBER(J447),J447,IF(ISNUMBER(I447),EDATE(I447,VLOOKUP(D447,Assumptions!$A$10:$B$16,2,0)),"")))</f>
        <v>46511</v>
      </c>
      <c r="M447" s="14">
        <f>IF(ISNUMBER(L447),L447-Assumptions!$B$5,"")</f>
        <v>489</v>
      </c>
      <c r="N447" s="17">
        <f t="shared" si="36"/>
        <v>0</v>
      </c>
      <c r="O447" s="14">
        <f>IF(COUNTIF(Assumptions!$A$25:$A$27,A447)&gt;0,1,0)</f>
        <v>0</v>
      </c>
      <c r="P447" s="14">
        <f>IF(COUNTIF(Assumptions!$B$25:$B$26,A447)&gt;0,1,0)</f>
        <v>0</v>
      </c>
      <c r="Q447" s="14">
        <f>IF(COUNTIF(Assumptions!$C$25:$C$25,A447)&gt;0,1,0)</f>
        <v>0</v>
      </c>
      <c r="R447" s="17">
        <f t="shared" si="37"/>
        <v>0</v>
      </c>
      <c r="S447" s="15" t="str">
        <f>IFERROR(VLOOKUP(A447,Assumptions!$A$31:$B$33,2,0),"")</f>
        <v/>
      </c>
      <c r="T447" s="15">
        <f t="shared" si="38"/>
        <v>290.67</v>
      </c>
      <c r="U447" s="15">
        <f t="shared" si="39"/>
        <v>712141.5</v>
      </c>
      <c r="V447" s="15">
        <f t="shared" si="40"/>
        <v>712141.5</v>
      </c>
      <c r="W447" s="15">
        <f t="shared" si="41"/>
        <v>0</v>
      </c>
    </row>
    <row r="448" spans="1:23" ht="15" customHeight="1" x14ac:dyDescent="0.2">
      <c r="A448" s="14" t="s">
        <v>2698</v>
      </c>
      <c r="B448" s="14" t="s">
        <v>2699</v>
      </c>
      <c r="C448" s="14" t="s">
        <v>1997</v>
      </c>
      <c r="D448" s="14" t="s">
        <v>45</v>
      </c>
      <c r="E448" s="14" t="s">
        <v>1988</v>
      </c>
      <c r="F448" s="14">
        <v>2914</v>
      </c>
      <c r="G448" s="15">
        <v>413.81</v>
      </c>
      <c r="H448" s="16">
        <v>45995</v>
      </c>
      <c r="I448" s="16">
        <v>45913</v>
      </c>
      <c r="J448" s="16">
        <v>46094</v>
      </c>
      <c r="K448" s="14" t="s">
        <v>1989</v>
      </c>
      <c r="L448" s="16">
        <f>IF(D448="Packaging","",IF(ISNUMBER(J448),J448,IF(ISNUMBER(I448),EDATE(I448,VLOOKUP(D448,Assumptions!$A$10:$B$16,2,0)),"")))</f>
        <v>46094</v>
      </c>
      <c r="M448" s="14">
        <f>IF(ISNUMBER(L448),L448-Assumptions!$B$5,"")</f>
        <v>72</v>
      </c>
      <c r="N448" s="17">
        <f t="shared" si="36"/>
        <v>0.5</v>
      </c>
      <c r="O448" s="14">
        <f>IF(COUNTIF(Assumptions!$A$25:$A$27,A448)&gt;0,1,0)</f>
        <v>0</v>
      </c>
      <c r="P448" s="14">
        <f>IF(COUNTIF(Assumptions!$B$25:$B$26,A448)&gt;0,1,0)</f>
        <v>0</v>
      </c>
      <c r="Q448" s="14">
        <f>IF(COUNTIF(Assumptions!$C$25:$C$25,A448)&gt;0,1,0)</f>
        <v>0</v>
      </c>
      <c r="R448" s="17">
        <f t="shared" si="37"/>
        <v>0.5</v>
      </c>
      <c r="S448" s="15" t="str">
        <f>IFERROR(VLOOKUP(A448,Assumptions!$A$31:$B$33,2,0),"")</f>
        <v/>
      </c>
      <c r="T448" s="15">
        <f t="shared" si="38"/>
        <v>413.81</v>
      </c>
      <c r="U448" s="15">
        <f t="shared" si="39"/>
        <v>1205842.3400000001</v>
      </c>
      <c r="V448" s="15">
        <f t="shared" si="40"/>
        <v>602921.17000000004</v>
      </c>
      <c r="W448" s="15">
        <f t="shared" si="41"/>
        <v>602921.17000000004</v>
      </c>
    </row>
    <row r="449" spans="1:23" ht="15" customHeight="1" x14ac:dyDescent="0.2">
      <c r="A449" s="14" t="s">
        <v>2700</v>
      </c>
      <c r="B449" s="14" t="s">
        <v>2701</v>
      </c>
      <c r="C449" s="14" t="s">
        <v>2219</v>
      </c>
      <c r="D449" s="14" t="s">
        <v>42</v>
      </c>
      <c r="E449" s="14" t="s">
        <v>1988</v>
      </c>
      <c r="F449" s="14">
        <v>1599</v>
      </c>
      <c r="G449" s="15">
        <v>100.53</v>
      </c>
      <c r="H449" s="16">
        <v>46005</v>
      </c>
      <c r="I449" s="16">
        <v>46126</v>
      </c>
      <c r="J449" s="16">
        <v>46491</v>
      </c>
      <c r="K449" s="14" t="s">
        <v>2021</v>
      </c>
      <c r="L449" s="16">
        <f>IF(D449="Packaging","",IF(ISNUMBER(J449),J449,IF(ISNUMBER(I449),EDATE(I449,VLOOKUP(D449,Assumptions!$A$10:$B$16,2,0)),"")))</f>
        <v>46491</v>
      </c>
      <c r="M449" s="14">
        <f>IF(ISNUMBER(L449),L449-Assumptions!$B$5,"")</f>
        <v>469</v>
      </c>
      <c r="N449" s="17">
        <f t="shared" si="36"/>
        <v>0</v>
      </c>
      <c r="O449" s="14">
        <f>IF(COUNTIF(Assumptions!$A$25:$A$27,A449)&gt;0,1,0)</f>
        <v>0</v>
      </c>
      <c r="P449" s="14">
        <f>IF(COUNTIF(Assumptions!$B$25:$B$26,A449)&gt;0,1,0)</f>
        <v>0</v>
      </c>
      <c r="Q449" s="14">
        <f>IF(COUNTIF(Assumptions!$C$25:$C$25,A449)&gt;0,1,0)</f>
        <v>0</v>
      </c>
      <c r="R449" s="17">
        <f t="shared" si="37"/>
        <v>0</v>
      </c>
      <c r="S449" s="15" t="str">
        <f>IFERROR(VLOOKUP(A449,Assumptions!$A$31:$B$33,2,0),"")</f>
        <v/>
      </c>
      <c r="T449" s="15">
        <f t="shared" si="38"/>
        <v>100.53</v>
      </c>
      <c r="U449" s="15">
        <f t="shared" si="39"/>
        <v>160747.47</v>
      </c>
      <c r="V449" s="15">
        <f t="shared" si="40"/>
        <v>160747.47</v>
      </c>
      <c r="W449" s="15">
        <f t="shared" si="41"/>
        <v>0</v>
      </c>
    </row>
    <row r="450" spans="1:23" ht="15" customHeight="1" x14ac:dyDescent="0.2">
      <c r="A450" s="14" t="s">
        <v>2702</v>
      </c>
      <c r="B450" s="14" t="s">
        <v>2703</v>
      </c>
      <c r="C450" s="14" t="s">
        <v>2046</v>
      </c>
      <c r="D450" s="14" t="s">
        <v>42</v>
      </c>
      <c r="E450" s="14" t="s">
        <v>1988</v>
      </c>
      <c r="F450" s="14">
        <v>4054</v>
      </c>
      <c r="G450" s="15">
        <v>252.42</v>
      </c>
      <c r="H450" s="16">
        <v>46017</v>
      </c>
      <c r="I450" s="16">
        <v>46250</v>
      </c>
      <c r="J450" s="16"/>
      <c r="K450" s="14" t="s">
        <v>1994</v>
      </c>
      <c r="L450" s="16">
        <f>IF(D450="Packaging","",IF(ISNUMBER(J450),J450,IF(ISNUMBER(I450),EDATE(I450,VLOOKUP(D450,Assumptions!$A$10:$B$16,2,0)),"")))</f>
        <v>46615</v>
      </c>
      <c r="M450" s="14">
        <f>IF(ISNUMBER(L450),L450-Assumptions!$B$5,"")</f>
        <v>593</v>
      </c>
      <c r="N450" s="17">
        <f t="shared" ref="N450:N513" si="42">IF(D450="Packaging",0,IF(NOT(ISNUMBER(L450)),0,IF(M450&lt;0,1,IF(M450&lt;=90,0.5,IF(M450&lt;=180,0.25,0)))))</f>
        <v>0</v>
      </c>
      <c r="O450" s="14">
        <f>IF(COUNTIF(Assumptions!$A$25:$A$27,A450)&gt;0,1,0)</f>
        <v>0</v>
      </c>
      <c r="P450" s="14">
        <f>IF(COUNTIF(Assumptions!$B$25:$B$26,A450)&gt;0,1,0)</f>
        <v>0</v>
      </c>
      <c r="Q450" s="14">
        <f>IF(COUNTIF(Assumptions!$C$25:$C$25,A450)&gt;0,1,0)</f>
        <v>0</v>
      </c>
      <c r="R450" s="17">
        <f t="shared" ref="R450:R513" si="43">IF(OR(O450=1,Q450=1),1,IF(P450=1,0.5,N450))</f>
        <v>0</v>
      </c>
      <c r="S450" s="15" t="str">
        <f>IFERROR(VLOOKUP(A450,Assumptions!$A$31:$B$33,2,0),"")</f>
        <v/>
      </c>
      <c r="T450" s="15">
        <f t="shared" ref="T450:T513" si="44">IF(S450="",G450,MIN(G450,S450))</f>
        <v>252.42</v>
      </c>
      <c r="U450" s="15">
        <f t="shared" ref="U450:U513" si="45">F450*G450</f>
        <v>1023310.6799999999</v>
      </c>
      <c r="V450" s="15">
        <f t="shared" ref="V450:V513" si="46">F450*T450*(1-R450)</f>
        <v>1023310.6799999999</v>
      </c>
      <c r="W450" s="15">
        <f t="shared" ref="W450:W513" si="47">U450-V450</f>
        <v>0</v>
      </c>
    </row>
    <row r="451" spans="1:23" ht="15" customHeight="1" x14ac:dyDescent="0.2">
      <c r="A451" s="14" t="s">
        <v>2704</v>
      </c>
      <c r="B451" s="14" t="s">
        <v>2705</v>
      </c>
      <c r="C451" s="14" t="s">
        <v>2069</v>
      </c>
      <c r="D451" s="14" t="s">
        <v>47</v>
      </c>
      <c r="E451" s="14" t="s">
        <v>2037</v>
      </c>
      <c r="F451" s="14">
        <v>4971</v>
      </c>
      <c r="G451" s="15">
        <v>215.92</v>
      </c>
      <c r="H451" s="16">
        <v>45453</v>
      </c>
      <c r="I451" s="16">
        <v>45396</v>
      </c>
      <c r="J451" s="16"/>
      <c r="K451" s="14" t="s">
        <v>2030</v>
      </c>
      <c r="L451" s="16" t="str">
        <f>IF(D451="Packaging","",IF(ISNUMBER(J451),J451,IF(ISNUMBER(I451),EDATE(I451,VLOOKUP(D451,Assumptions!$A$10:$B$16,2,0)),"")))</f>
        <v/>
      </c>
      <c r="M451" s="14" t="str">
        <f>IF(ISNUMBER(L451),L451-Assumptions!$B$5,"")</f>
        <v/>
      </c>
      <c r="N451" s="17">
        <f t="shared" si="42"/>
        <v>0</v>
      </c>
      <c r="O451" s="14">
        <f>IF(COUNTIF(Assumptions!$A$25:$A$27,A451)&gt;0,1,0)</f>
        <v>0</v>
      </c>
      <c r="P451" s="14">
        <f>IF(COUNTIF(Assumptions!$B$25:$B$26,A451)&gt;0,1,0)</f>
        <v>0</v>
      </c>
      <c r="Q451" s="14">
        <f>IF(COUNTIF(Assumptions!$C$25:$C$25,A451)&gt;0,1,0)</f>
        <v>0</v>
      </c>
      <c r="R451" s="17">
        <f t="shared" si="43"/>
        <v>0</v>
      </c>
      <c r="S451" s="15" t="str">
        <f>IFERROR(VLOOKUP(A451,Assumptions!$A$31:$B$33,2,0),"")</f>
        <v/>
      </c>
      <c r="T451" s="15">
        <f t="shared" si="44"/>
        <v>215.92</v>
      </c>
      <c r="U451" s="15">
        <f t="shared" si="45"/>
        <v>1073338.3199999998</v>
      </c>
      <c r="V451" s="15">
        <f t="shared" si="46"/>
        <v>1073338.3199999998</v>
      </c>
      <c r="W451" s="15">
        <f t="shared" si="47"/>
        <v>0</v>
      </c>
    </row>
    <row r="452" spans="1:23" ht="15" customHeight="1" x14ac:dyDescent="0.2">
      <c r="A452" s="14" t="s">
        <v>1366</v>
      </c>
      <c r="B452" s="14" t="s">
        <v>1365</v>
      </c>
      <c r="C452" s="14" t="s">
        <v>2142</v>
      </c>
      <c r="D452" s="14" t="s">
        <v>44</v>
      </c>
      <c r="E452" s="14" t="s">
        <v>1993</v>
      </c>
      <c r="F452" s="14">
        <v>1058</v>
      </c>
      <c r="G452" s="15">
        <v>119.46</v>
      </c>
      <c r="H452" s="16">
        <v>45929</v>
      </c>
      <c r="I452" s="16">
        <v>45860</v>
      </c>
      <c r="J452" s="16">
        <v>46409</v>
      </c>
      <c r="K452" s="14" t="s">
        <v>2030</v>
      </c>
      <c r="L452" s="16">
        <f>IF(D452="Packaging","",IF(ISNUMBER(J452),J452,IF(ISNUMBER(I452),EDATE(I452,VLOOKUP(D452,Assumptions!$A$10:$B$16,2,0)),"")))</f>
        <v>46409</v>
      </c>
      <c r="M452" s="14">
        <f>IF(ISNUMBER(L452),L452-Assumptions!$B$5,"")</f>
        <v>387</v>
      </c>
      <c r="N452" s="17">
        <f t="shared" si="42"/>
        <v>0</v>
      </c>
      <c r="O452" s="14">
        <f>IF(COUNTIF(Assumptions!$A$25:$A$27,A452)&gt;0,1,0)</f>
        <v>0</v>
      </c>
      <c r="P452" s="14">
        <f>IF(COUNTIF(Assumptions!$B$25:$B$26,A452)&gt;0,1,0)</f>
        <v>0</v>
      </c>
      <c r="Q452" s="14">
        <f>IF(COUNTIF(Assumptions!$C$25:$C$25,A452)&gt;0,1,0)</f>
        <v>0</v>
      </c>
      <c r="R452" s="17">
        <f t="shared" si="43"/>
        <v>0</v>
      </c>
      <c r="S452" s="15" t="str">
        <f>IFERROR(VLOOKUP(A452,Assumptions!$A$31:$B$33,2,0),"")</f>
        <v/>
      </c>
      <c r="T452" s="15">
        <f t="shared" si="44"/>
        <v>119.46</v>
      </c>
      <c r="U452" s="15">
        <f t="shared" si="45"/>
        <v>126388.68</v>
      </c>
      <c r="V452" s="15">
        <f t="shared" si="46"/>
        <v>126388.68</v>
      </c>
      <c r="W452" s="15">
        <f t="shared" si="47"/>
        <v>0</v>
      </c>
    </row>
    <row r="453" spans="1:23" ht="15" customHeight="1" x14ac:dyDescent="0.2">
      <c r="A453" s="14" t="s">
        <v>2706</v>
      </c>
      <c r="B453" s="14" t="s">
        <v>2707</v>
      </c>
      <c r="C453" s="14" t="s">
        <v>2033</v>
      </c>
      <c r="D453" s="14" t="s">
        <v>47</v>
      </c>
      <c r="E453" s="14" t="s">
        <v>2014</v>
      </c>
      <c r="F453" s="14">
        <v>2863</v>
      </c>
      <c r="G453" s="15">
        <v>35.369999999999997</v>
      </c>
      <c r="H453" s="16">
        <v>45965</v>
      </c>
      <c r="I453" s="16">
        <v>45891</v>
      </c>
      <c r="J453" s="16"/>
      <c r="K453" s="14" t="s">
        <v>2052</v>
      </c>
      <c r="L453" s="16" t="str">
        <f>IF(D453="Packaging","",IF(ISNUMBER(J453),J453,IF(ISNUMBER(I453),EDATE(I453,VLOOKUP(D453,Assumptions!$A$10:$B$16,2,0)),"")))</f>
        <v/>
      </c>
      <c r="M453" s="14" t="str">
        <f>IF(ISNUMBER(L453),L453-Assumptions!$B$5,"")</f>
        <v/>
      </c>
      <c r="N453" s="17">
        <f t="shared" si="42"/>
        <v>0</v>
      </c>
      <c r="O453" s="14">
        <f>IF(COUNTIF(Assumptions!$A$25:$A$27,A453)&gt;0,1,0)</f>
        <v>0</v>
      </c>
      <c r="P453" s="14">
        <f>IF(COUNTIF(Assumptions!$B$25:$B$26,A453)&gt;0,1,0)</f>
        <v>0</v>
      </c>
      <c r="Q453" s="14">
        <f>IF(COUNTIF(Assumptions!$C$25:$C$25,A453)&gt;0,1,0)</f>
        <v>0</v>
      </c>
      <c r="R453" s="17">
        <f t="shared" si="43"/>
        <v>0</v>
      </c>
      <c r="S453" s="15" t="str">
        <f>IFERROR(VLOOKUP(A453,Assumptions!$A$31:$B$33,2,0),"")</f>
        <v/>
      </c>
      <c r="T453" s="15">
        <f t="shared" si="44"/>
        <v>35.369999999999997</v>
      </c>
      <c r="U453" s="15">
        <f t="shared" si="45"/>
        <v>101264.31</v>
      </c>
      <c r="V453" s="15">
        <f t="shared" si="46"/>
        <v>101264.31</v>
      </c>
      <c r="W453" s="15">
        <f t="shared" si="47"/>
        <v>0</v>
      </c>
    </row>
    <row r="454" spans="1:23" ht="15" customHeight="1" x14ac:dyDescent="0.2">
      <c r="A454" s="14" t="s">
        <v>2708</v>
      </c>
      <c r="B454" s="14" t="s">
        <v>2709</v>
      </c>
      <c r="C454" s="14" t="s">
        <v>2089</v>
      </c>
      <c r="D454" s="14" t="s">
        <v>46</v>
      </c>
      <c r="E454" s="14" t="s">
        <v>2037</v>
      </c>
      <c r="F454" s="14">
        <v>4376</v>
      </c>
      <c r="G454" s="15">
        <v>349.22</v>
      </c>
      <c r="H454" s="16">
        <v>45996</v>
      </c>
      <c r="I454" s="16">
        <v>46228</v>
      </c>
      <c r="J454" s="16">
        <v>46502</v>
      </c>
      <c r="K454" s="14" t="s">
        <v>2030</v>
      </c>
      <c r="L454" s="16">
        <f>IF(D454="Packaging","",IF(ISNUMBER(J454),J454,IF(ISNUMBER(I454),EDATE(I454,VLOOKUP(D454,Assumptions!$A$10:$B$16,2,0)),"")))</f>
        <v>46502</v>
      </c>
      <c r="M454" s="14">
        <f>IF(ISNUMBER(L454),L454-Assumptions!$B$5,"")</f>
        <v>480</v>
      </c>
      <c r="N454" s="17">
        <f t="shared" si="42"/>
        <v>0</v>
      </c>
      <c r="O454" s="14">
        <f>IF(COUNTIF(Assumptions!$A$25:$A$27,A454)&gt;0,1,0)</f>
        <v>0</v>
      </c>
      <c r="P454" s="14">
        <f>IF(COUNTIF(Assumptions!$B$25:$B$26,A454)&gt;0,1,0)</f>
        <v>0</v>
      </c>
      <c r="Q454" s="14">
        <f>IF(COUNTIF(Assumptions!$C$25:$C$25,A454)&gt;0,1,0)</f>
        <v>0</v>
      </c>
      <c r="R454" s="17">
        <f t="shared" si="43"/>
        <v>0</v>
      </c>
      <c r="S454" s="15" t="str">
        <f>IFERROR(VLOOKUP(A454,Assumptions!$A$31:$B$33,2,0),"")</f>
        <v/>
      </c>
      <c r="T454" s="15">
        <f t="shared" si="44"/>
        <v>349.22</v>
      </c>
      <c r="U454" s="15">
        <f t="shared" si="45"/>
        <v>1528186.7200000002</v>
      </c>
      <c r="V454" s="15">
        <f t="shared" si="46"/>
        <v>1528186.7200000002</v>
      </c>
      <c r="W454" s="15">
        <f t="shared" si="47"/>
        <v>0</v>
      </c>
    </row>
    <row r="455" spans="1:23" ht="15" customHeight="1" x14ac:dyDescent="0.2">
      <c r="A455" s="14" t="s">
        <v>2710</v>
      </c>
      <c r="B455" s="14" t="s">
        <v>2711</v>
      </c>
      <c r="C455" s="14" t="s">
        <v>2018</v>
      </c>
      <c r="D455" s="14" t="s">
        <v>36</v>
      </c>
      <c r="E455" s="14" t="s">
        <v>1988</v>
      </c>
      <c r="F455" s="14">
        <v>1380</v>
      </c>
      <c r="G455" s="15">
        <v>106.97</v>
      </c>
      <c r="H455" s="16">
        <v>45973</v>
      </c>
      <c r="I455" s="16">
        <v>45911</v>
      </c>
      <c r="J455" s="16">
        <v>46641</v>
      </c>
      <c r="K455" s="14" t="s">
        <v>2052</v>
      </c>
      <c r="L455" s="16">
        <f>IF(D455="Packaging","",IF(ISNUMBER(J455),J455,IF(ISNUMBER(I455),EDATE(I455,VLOOKUP(D455,Assumptions!$A$10:$B$16,2,0)),"")))</f>
        <v>46641</v>
      </c>
      <c r="M455" s="14">
        <f>IF(ISNUMBER(L455),L455-Assumptions!$B$5,"")</f>
        <v>619</v>
      </c>
      <c r="N455" s="17">
        <f t="shared" si="42"/>
        <v>0</v>
      </c>
      <c r="O455" s="14">
        <f>IF(COUNTIF(Assumptions!$A$25:$A$27,A455)&gt;0,1,0)</f>
        <v>0</v>
      </c>
      <c r="P455" s="14">
        <f>IF(COUNTIF(Assumptions!$B$25:$B$26,A455)&gt;0,1,0)</f>
        <v>0</v>
      </c>
      <c r="Q455" s="14">
        <f>IF(COUNTIF(Assumptions!$C$25:$C$25,A455)&gt;0,1,0)</f>
        <v>0</v>
      </c>
      <c r="R455" s="17">
        <f t="shared" si="43"/>
        <v>0</v>
      </c>
      <c r="S455" s="15" t="str">
        <f>IFERROR(VLOOKUP(A455,Assumptions!$A$31:$B$33,2,0),"")</f>
        <v/>
      </c>
      <c r="T455" s="15">
        <f t="shared" si="44"/>
        <v>106.97</v>
      </c>
      <c r="U455" s="15">
        <f t="shared" si="45"/>
        <v>147618.6</v>
      </c>
      <c r="V455" s="15">
        <f t="shared" si="46"/>
        <v>147618.6</v>
      </c>
      <c r="W455" s="15">
        <f t="shared" si="47"/>
        <v>0</v>
      </c>
    </row>
    <row r="456" spans="1:23" ht="15" customHeight="1" x14ac:dyDescent="0.2">
      <c r="A456" s="14" t="s">
        <v>2712</v>
      </c>
      <c r="B456" s="14" t="s">
        <v>2713</v>
      </c>
      <c r="C456" s="14" t="s">
        <v>2000</v>
      </c>
      <c r="D456" s="14" t="s">
        <v>45</v>
      </c>
      <c r="E456" s="14" t="s">
        <v>2014</v>
      </c>
      <c r="F456" s="14">
        <v>1376</v>
      </c>
      <c r="G456" s="15">
        <v>251.81</v>
      </c>
      <c r="H456" s="16">
        <v>45980</v>
      </c>
      <c r="I456" s="16">
        <v>46052</v>
      </c>
      <c r="J456" s="16"/>
      <c r="K456" s="14" t="s">
        <v>2004</v>
      </c>
      <c r="L456" s="16">
        <f>IF(D456="Packaging","",IF(ISNUMBER(J456),J456,IF(ISNUMBER(I456),EDATE(I456,VLOOKUP(D456,Assumptions!$A$10:$B$16,2,0)),"")))</f>
        <v>46233</v>
      </c>
      <c r="M456" s="14">
        <f>IF(ISNUMBER(L456),L456-Assumptions!$B$5,"")</f>
        <v>211</v>
      </c>
      <c r="N456" s="17">
        <f t="shared" si="42"/>
        <v>0</v>
      </c>
      <c r="O456" s="14">
        <f>IF(COUNTIF(Assumptions!$A$25:$A$27,A456)&gt;0,1,0)</f>
        <v>0</v>
      </c>
      <c r="P456" s="14">
        <f>IF(COUNTIF(Assumptions!$B$25:$B$26,A456)&gt;0,1,0)</f>
        <v>0</v>
      </c>
      <c r="Q456" s="14">
        <f>IF(COUNTIF(Assumptions!$C$25:$C$25,A456)&gt;0,1,0)</f>
        <v>0</v>
      </c>
      <c r="R456" s="17">
        <f t="shared" si="43"/>
        <v>0</v>
      </c>
      <c r="S456" s="15" t="str">
        <f>IFERROR(VLOOKUP(A456,Assumptions!$A$31:$B$33,2,0),"")</f>
        <v/>
      </c>
      <c r="T456" s="15">
        <f t="shared" si="44"/>
        <v>251.81</v>
      </c>
      <c r="U456" s="15">
        <f t="shared" si="45"/>
        <v>346490.56</v>
      </c>
      <c r="V456" s="15">
        <f t="shared" si="46"/>
        <v>346490.56</v>
      </c>
      <c r="W456" s="15">
        <f t="shared" si="47"/>
        <v>0</v>
      </c>
    </row>
    <row r="457" spans="1:23" ht="15" customHeight="1" x14ac:dyDescent="0.2">
      <c r="A457" s="14" t="s">
        <v>2714</v>
      </c>
      <c r="B457" s="14" t="s">
        <v>2715</v>
      </c>
      <c r="C457" s="14" t="s">
        <v>1435</v>
      </c>
      <c r="D457" s="14" t="s">
        <v>36</v>
      </c>
      <c r="E457" s="14" t="s">
        <v>2037</v>
      </c>
      <c r="F457" s="14">
        <v>4300</v>
      </c>
      <c r="G457" s="15">
        <v>143.57</v>
      </c>
      <c r="H457" s="16">
        <v>45970</v>
      </c>
      <c r="I457" s="16">
        <v>46130</v>
      </c>
      <c r="J457" s="16"/>
      <c r="K457" s="14" t="s">
        <v>2021</v>
      </c>
      <c r="L457" s="16">
        <f>IF(D457="Packaging","",IF(ISNUMBER(J457),J457,IF(ISNUMBER(I457),EDATE(I457,VLOOKUP(D457,Assumptions!$A$10:$B$16,2,0)),"")))</f>
        <v>46861</v>
      </c>
      <c r="M457" s="14">
        <f>IF(ISNUMBER(L457),L457-Assumptions!$B$5,"")</f>
        <v>839</v>
      </c>
      <c r="N457" s="17">
        <f t="shared" si="42"/>
        <v>0</v>
      </c>
      <c r="O457" s="14">
        <f>IF(COUNTIF(Assumptions!$A$25:$A$27,A457)&gt;0,1,0)</f>
        <v>0</v>
      </c>
      <c r="P457" s="14">
        <f>IF(COUNTIF(Assumptions!$B$25:$B$26,A457)&gt;0,1,0)</f>
        <v>0</v>
      </c>
      <c r="Q457" s="14">
        <f>IF(COUNTIF(Assumptions!$C$25:$C$25,A457)&gt;0,1,0)</f>
        <v>0</v>
      </c>
      <c r="R457" s="17">
        <f t="shared" si="43"/>
        <v>0</v>
      </c>
      <c r="S457" s="15" t="str">
        <f>IFERROR(VLOOKUP(A457,Assumptions!$A$31:$B$33,2,0),"")</f>
        <v/>
      </c>
      <c r="T457" s="15">
        <f t="shared" si="44"/>
        <v>143.57</v>
      </c>
      <c r="U457" s="15">
        <f t="shared" si="45"/>
        <v>617351</v>
      </c>
      <c r="V457" s="15">
        <f t="shared" si="46"/>
        <v>617351</v>
      </c>
      <c r="W457" s="15">
        <f t="shared" si="47"/>
        <v>0</v>
      </c>
    </row>
    <row r="458" spans="1:23" ht="15" customHeight="1" x14ac:dyDescent="0.2">
      <c r="A458" s="14" t="s">
        <v>2716</v>
      </c>
      <c r="B458" s="14" t="s">
        <v>2717</v>
      </c>
      <c r="C458" s="14" t="s">
        <v>2003</v>
      </c>
      <c r="D458" s="14" t="s">
        <v>46</v>
      </c>
      <c r="E458" s="14" t="s">
        <v>2037</v>
      </c>
      <c r="F458" s="14">
        <v>3848</v>
      </c>
      <c r="G458" s="15">
        <v>222.2</v>
      </c>
      <c r="H458" s="16">
        <v>45909</v>
      </c>
      <c r="I458" s="16">
        <v>45824</v>
      </c>
      <c r="J458" s="16"/>
      <c r="K458" s="14" t="s">
        <v>2021</v>
      </c>
      <c r="L458" s="16">
        <f>IF(D458="Packaging","",IF(ISNUMBER(J458),J458,IF(ISNUMBER(I458),EDATE(I458,VLOOKUP(D458,Assumptions!$A$10:$B$16,2,0)),"")))</f>
        <v>46097</v>
      </c>
      <c r="M458" s="14">
        <f>IF(ISNUMBER(L458),L458-Assumptions!$B$5,"")</f>
        <v>75</v>
      </c>
      <c r="N458" s="17">
        <f t="shared" si="42"/>
        <v>0.5</v>
      </c>
      <c r="O458" s="14">
        <f>IF(COUNTIF(Assumptions!$A$25:$A$27,A458)&gt;0,1,0)</f>
        <v>0</v>
      </c>
      <c r="P458" s="14">
        <f>IF(COUNTIF(Assumptions!$B$25:$B$26,A458)&gt;0,1,0)</f>
        <v>0</v>
      </c>
      <c r="Q458" s="14">
        <f>IF(COUNTIF(Assumptions!$C$25:$C$25,A458)&gt;0,1,0)</f>
        <v>0</v>
      </c>
      <c r="R458" s="17">
        <f t="shared" si="43"/>
        <v>0.5</v>
      </c>
      <c r="S458" s="15" t="str">
        <f>IFERROR(VLOOKUP(A458,Assumptions!$A$31:$B$33,2,0),"")</f>
        <v/>
      </c>
      <c r="T458" s="15">
        <f t="shared" si="44"/>
        <v>222.2</v>
      </c>
      <c r="U458" s="15">
        <f t="shared" si="45"/>
        <v>855025.6</v>
      </c>
      <c r="V458" s="15">
        <f t="shared" si="46"/>
        <v>427512.8</v>
      </c>
      <c r="W458" s="15">
        <f t="shared" si="47"/>
        <v>427512.8</v>
      </c>
    </row>
    <row r="459" spans="1:23" ht="15" customHeight="1" x14ac:dyDescent="0.2">
      <c r="A459" s="14" t="s">
        <v>614</v>
      </c>
      <c r="B459" s="14" t="s">
        <v>613</v>
      </c>
      <c r="C459" s="14" t="s">
        <v>2137</v>
      </c>
      <c r="D459" s="14" t="s">
        <v>36</v>
      </c>
      <c r="E459" s="14" t="s">
        <v>2014</v>
      </c>
      <c r="F459" s="14">
        <v>4517</v>
      </c>
      <c r="G459" s="15">
        <v>60.67</v>
      </c>
      <c r="H459" s="16">
        <v>45797</v>
      </c>
      <c r="I459" s="16">
        <v>45766</v>
      </c>
      <c r="J459" s="16"/>
      <c r="K459" s="14" t="s">
        <v>2030</v>
      </c>
      <c r="L459" s="16">
        <f>IF(D459="Packaging","",IF(ISNUMBER(J459),J459,IF(ISNUMBER(I459),EDATE(I459,VLOOKUP(D459,Assumptions!$A$10:$B$16,2,0)),"")))</f>
        <v>46496</v>
      </c>
      <c r="M459" s="14">
        <f>IF(ISNUMBER(L459),L459-Assumptions!$B$5,"")</f>
        <v>474</v>
      </c>
      <c r="N459" s="17">
        <f t="shared" si="42"/>
        <v>0</v>
      </c>
      <c r="O459" s="14">
        <f>IF(COUNTIF(Assumptions!$A$25:$A$27,A459)&gt;0,1,0)</f>
        <v>0</v>
      </c>
      <c r="P459" s="14">
        <f>IF(COUNTIF(Assumptions!$B$25:$B$26,A459)&gt;0,1,0)</f>
        <v>0</v>
      </c>
      <c r="Q459" s="14">
        <f>IF(COUNTIF(Assumptions!$C$25:$C$25,A459)&gt;0,1,0)</f>
        <v>0</v>
      </c>
      <c r="R459" s="17">
        <f t="shared" si="43"/>
        <v>0</v>
      </c>
      <c r="S459" s="15" t="str">
        <f>IFERROR(VLOOKUP(A459,Assumptions!$A$31:$B$33,2,0),"")</f>
        <v/>
      </c>
      <c r="T459" s="15">
        <f t="shared" si="44"/>
        <v>60.67</v>
      </c>
      <c r="U459" s="15">
        <f t="shared" si="45"/>
        <v>274046.39</v>
      </c>
      <c r="V459" s="15">
        <f t="shared" si="46"/>
        <v>274046.39</v>
      </c>
      <c r="W459" s="15">
        <f t="shared" si="47"/>
        <v>0</v>
      </c>
    </row>
    <row r="460" spans="1:23" ht="15" customHeight="1" x14ac:dyDescent="0.2">
      <c r="A460" s="14" t="s">
        <v>2718</v>
      </c>
      <c r="B460" s="14" t="s">
        <v>2719</v>
      </c>
      <c r="C460" s="14" t="s">
        <v>2049</v>
      </c>
      <c r="D460" s="14" t="s">
        <v>42</v>
      </c>
      <c r="E460" s="14" t="s">
        <v>2037</v>
      </c>
      <c r="F460" s="14">
        <v>1647</v>
      </c>
      <c r="G460" s="15">
        <v>72.98</v>
      </c>
      <c r="H460" s="16">
        <v>46018</v>
      </c>
      <c r="I460" s="16">
        <v>45971</v>
      </c>
      <c r="J460" s="16">
        <v>46336</v>
      </c>
      <c r="K460" s="14" t="s">
        <v>2015</v>
      </c>
      <c r="L460" s="16">
        <f>IF(D460="Packaging","",IF(ISNUMBER(J460),J460,IF(ISNUMBER(I460),EDATE(I460,VLOOKUP(D460,Assumptions!$A$10:$B$16,2,0)),"")))</f>
        <v>46336</v>
      </c>
      <c r="M460" s="14">
        <f>IF(ISNUMBER(L460),L460-Assumptions!$B$5,"")</f>
        <v>314</v>
      </c>
      <c r="N460" s="17">
        <f t="shared" si="42"/>
        <v>0</v>
      </c>
      <c r="O460" s="14">
        <f>IF(COUNTIF(Assumptions!$A$25:$A$27,A460)&gt;0,1,0)</f>
        <v>0</v>
      </c>
      <c r="P460" s="14">
        <f>IF(COUNTIF(Assumptions!$B$25:$B$26,A460)&gt;0,1,0)</f>
        <v>0</v>
      </c>
      <c r="Q460" s="14">
        <f>IF(COUNTIF(Assumptions!$C$25:$C$25,A460)&gt;0,1,0)</f>
        <v>0</v>
      </c>
      <c r="R460" s="17">
        <f t="shared" si="43"/>
        <v>0</v>
      </c>
      <c r="S460" s="15" t="str">
        <f>IFERROR(VLOOKUP(A460,Assumptions!$A$31:$B$33,2,0),"")</f>
        <v/>
      </c>
      <c r="T460" s="15">
        <f t="shared" si="44"/>
        <v>72.98</v>
      </c>
      <c r="U460" s="15">
        <f t="shared" si="45"/>
        <v>120198.06000000001</v>
      </c>
      <c r="V460" s="15">
        <f t="shared" si="46"/>
        <v>120198.06000000001</v>
      </c>
      <c r="W460" s="15">
        <f t="shared" si="47"/>
        <v>0</v>
      </c>
    </row>
    <row r="461" spans="1:23" ht="15" customHeight="1" x14ac:dyDescent="0.2">
      <c r="A461" s="14" t="s">
        <v>1267</v>
      </c>
      <c r="B461" s="14" t="s">
        <v>1266</v>
      </c>
      <c r="C461" s="14" t="s">
        <v>2043</v>
      </c>
      <c r="D461" s="14" t="s">
        <v>39</v>
      </c>
      <c r="E461" s="14" t="s">
        <v>2014</v>
      </c>
      <c r="F461" s="14">
        <v>385</v>
      </c>
      <c r="G461" s="15">
        <v>25.11</v>
      </c>
      <c r="H461" s="16">
        <v>45347</v>
      </c>
      <c r="I461" s="16">
        <v>45296</v>
      </c>
      <c r="J461" s="16"/>
      <c r="K461" s="14" t="s">
        <v>2004</v>
      </c>
      <c r="L461" s="16">
        <f>IF(D461="Packaging","",IF(ISNUMBER(J461),J461,IF(ISNUMBER(I461),EDATE(I461,VLOOKUP(D461,Assumptions!$A$10:$B$16,2,0)),"")))</f>
        <v>46392</v>
      </c>
      <c r="M461" s="14">
        <f>IF(ISNUMBER(L461),L461-Assumptions!$B$5,"")</f>
        <v>370</v>
      </c>
      <c r="N461" s="17">
        <f t="shared" si="42"/>
        <v>0</v>
      </c>
      <c r="O461" s="14">
        <f>IF(COUNTIF(Assumptions!$A$25:$A$27,A461)&gt;0,1,0)</f>
        <v>0</v>
      </c>
      <c r="P461" s="14">
        <f>IF(COUNTIF(Assumptions!$B$25:$B$26,A461)&gt;0,1,0)</f>
        <v>0</v>
      </c>
      <c r="Q461" s="14">
        <f>IF(COUNTIF(Assumptions!$C$25:$C$25,A461)&gt;0,1,0)</f>
        <v>0</v>
      </c>
      <c r="R461" s="17">
        <f t="shared" si="43"/>
        <v>0</v>
      </c>
      <c r="S461" s="15" t="str">
        <f>IFERROR(VLOOKUP(A461,Assumptions!$A$31:$B$33,2,0),"")</f>
        <v/>
      </c>
      <c r="T461" s="15">
        <f t="shared" si="44"/>
        <v>25.11</v>
      </c>
      <c r="U461" s="15">
        <f t="shared" si="45"/>
        <v>9667.35</v>
      </c>
      <c r="V461" s="15">
        <f t="shared" si="46"/>
        <v>9667.35</v>
      </c>
      <c r="W461" s="15">
        <f t="shared" si="47"/>
        <v>0</v>
      </c>
    </row>
    <row r="462" spans="1:23" ht="15" customHeight="1" x14ac:dyDescent="0.2">
      <c r="A462" s="14" t="s">
        <v>2720</v>
      </c>
      <c r="B462" s="14" t="s">
        <v>2721</v>
      </c>
      <c r="C462" s="14" t="s">
        <v>2010</v>
      </c>
      <c r="D462" s="14" t="s">
        <v>46</v>
      </c>
      <c r="E462" s="14" t="s">
        <v>1988</v>
      </c>
      <c r="F462" s="14">
        <v>762</v>
      </c>
      <c r="G462" s="15">
        <v>314.92</v>
      </c>
      <c r="H462" s="16">
        <v>46007</v>
      </c>
      <c r="I462" s="16">
        <v>46096</v>
      </c>
      <c r="J462" s="16">
        <v>46371</v>
      </c>
      <c r="K462" s="14" t="s">
        <v>2052</v>
      </c>
      <c r="L462" s="16">
        <f>IF(D462="Packaging","",IF(ISNUMBER(J462),J462,IF(ISNUMBER(I462),EDATE(I462,VLOOKUP(D462,Assumptions!$A$10:$B$16,2,0)),"")))</f>
        <v>46371</v>
      </c>
      <c r="M462" s="14">
        <f>IF(ISNUMBER(L462),L462-Assumptions!$B$5,"")</f>
        <v>349</v>
      </c>
      <c r="N462" s="17">
        <f t="shared" si="42"/>
        <v>0</v>
      </c>
      <c r="O462" s="14">
        <f>IF(COUNTIF(Assumptions!$A$25:$A$27,A462)&gt;0,1,0)</f>
        <v>0</v>
      </c>
      <c r="P462" s="14">
        <f>IF(COUNTIF(Assumptions!$B$25:$B$26,A462)&gt;0,1,0)</f>
        <v>0</v>
      </c>
      <c r="Q462" s="14">
        <f>IF(COUNTIF(Assumptions!$C$25:$C$25,A462)&gt;0,1,0)</f>
        <v>0</v>
      </c>
      <c r="R462" s="17">
        <f t="shared" si="43"/>
        <v>0</v>
      </c>
      <c r="S462" s="15" t="str">
        <f>IFERROR(VLOOKUP(A462,Assumptions!$A$31:$B$33,2,0),"")</f>
        <v/>
      </c>
      <c r="T462" s="15">
        <f t="shared" si="44"/>
        <v>314.92</v>
      </c>
      <c r="U462" s="15">
        <f t="shared" si="45"/>
        <v>239969.04</v>
      </c>
      <c r="V462" s="15">
        <f t="shared" si="46"/>
        <v>239969.04</v>
      </c>
      <c r="W462" s="15">
        <f t="shared" si="47"/>
        <v>0</v>
      </c>
    </row>
    <row r="463" spans="1:23" ht="15" customHeight="1" x14ac:dyDescent="0.2">
      <c r="A463" s="14" t="s">
        <v>2722</v>
      </c>
      <c r="B463" s="14" t="s">
        <v>2723</v>
      </c>
      <c r="C463" s="14" t="s">
        <v>2007</v>
      </c>
      <c r="D463" s="14" t="s">
        <v>47</v>
      </c>
      <c r="E463" s="14" t="s">
        <v>2014</v>
      </c>
      <c r="F463" s="14">
        <v>3249</v>
      </c>
      <c r="G463" s="15">
        <v>98.68</v>
      </c>
      <c r="H463" s="16">
        <v>45853</v>
      </c>
      <c r="I463" s="16">
        <v>45799</v>
      </c>
      <c r="J463" s="16"/>
      <c r="K463" s="14" t="s">
        <v>1989</v>
      </c>
      <c r="L463" s="16" t="str">
        <f>IF(D463="Packaging","",IF(ISNUMBER(J463),J463,IF(ISNUMBER(I463),EDATE(I463,VLOOKUP(D463,Assumptions!$A$10:$B$16,2,0)),"")))</f>
        <v/>
      </c>
      <c r="M463" s="14" t="str">
        <f>IF(ISNUMBER(L463),L463-Assumptions!$B$5,"")</f>
        <v/>
      </c>
      <c r="N463" s="17">
        <f t="shared" si="42"/>
        <v>0</v>
      </c>
      <c r="O463" s="14">
        <f>IF(COUNTIF(Assumptions!$A$25:$A$27,A463)&gt;0,1,0)</f>
        <v>0</v>
      </c>
      <c r="P463" s="14">
        <f>IF(COUNTIF(Assumptions!$B$25:$B$26,A463)&gt;0,1,0)</f>
        <v>0</v>
      </c>
      <c r="Q463" s="14">
        <f>IF(COUNTIF(Assumptions!$C$25:$C$25,A463)&gt;0,1,0)</f>
        <v>0</v>
      </c>
      <c r="R463" s="17">
        <f t="shared" si="43"/>
        <v>0</v>
      </c>
      <c r="S463" s="15" t="str">
        <f>IFERROR(VLOOKUP(A463,Assumptions!$A$31:$B$33,2,0),"")</f>
        <v/>
      </c>
      <c r="T463" s="15">
        <f t="shared" si="44"/>
        <v>98.68</v>
      </c>
      <c r="U463" s="15">
        <f t="shared" si="45"/>
        <v>320611.32</v>
      </c>
      <c r="V463" s="15">
        <f t="shared" si="46"/>
        <v>320611.32</v>
      </c>
      <c r="W463" s="15">
        <f t="shared" si="47"/>
        <v>0</v>
      </c>
    </row>
    <row r="464" spans="1:23" ht="15" customHeight="1" x14ac:dyDescent="0.2">
      <c r="A464" s="14" t="s">
        <v>2724</v>
      </c>
      <c r="B464" s="14" t="s">
        <v>2725</v>
      </c>
      <c r="C464" s="14" t="s">
        <v>1997</v>
      </c>
      <c r="D464" s="14" t="s">
        <v>45</v>
      </c>
      <c r="E464" s="14" t="s">
        <v>1993</v>
      </c>
      <c r="F464" s="14">
        <v>4076</v>
      </c>
      <c r="G464" s="15">
        <v>23.25</v>
      </c>
      <c r="H464" s="16">
        <v>45991</v>
      </c>
      <c r="I464" s="16">
        <v>46668</v>
      </c>
      <c r="J464" s="16">
        <v>46851</v>
      </c>
      <c r="K464" s="14" t="s">
        <v>1994</v>
      </c>
      <c r="L464" s="16">
        <f>IF(D464="Packaging","",IF(ISNUMBER(J464),J464,IF(ISNUMBER(I464),EDATE(I464,VLOOKUP(D464,Assumptions!$A$10:$B$16,2,0)),"")))</f>
        <v>46851</v>
      </c>
      <c r="M464" s="14">
        <f>IF(ISNUMBER(L464),L464-Assumptions!$B$5,"")</f>
        <v>829</v>
      </c>
      <c r="N464" s="17">
        <f t="shared" si="42"/>
        <v>0</v>
      </c>
      <c r="O464" s="14">
        <f>IF(COUNTIF(Assumptions!$A$25:$A$27,A464)&gt;0,1,0)</f>
        <v>0</v>
      </c>
      <c r="P464" s="14">
        <f>IF(COUNTIF(Assumptions!$B$25:$B$26,A464)&gt;0,1,0)</f>
        <v>0</v>
      </c>
      <c r="Q464" s="14">
        <f>IF(COUNTIF(Assumptions!$C$25:$C$25,A464)&gt;0,1,0)</f>
        <v>0</v>
      </c>
      <c r="R464" s="17">
        <f t="shared" si="43"/>
        <v>0</v>
      </c>
      <c r="S464" s="15" t="str">
        <f>IFERROR(VLOOKUP(A464,Assumptions!$A$31:$B$33,2,0),"")</f>
        <v/>
      </c>
      <c r="T464" s="15">
        <f t="shared" si="44"/>
        <v>23.25</v>
      </c>
      <c r="U464" s="15">
        <f t="shared" si="45"/>
        <v>94767</v>
      </c>
      <c r="V464" s="15">
        <f t="shared" si="46"/>
        <v>94767</v>
      </c>
      <c r="W464" s="15">
        <f t="shared" si="47"/>
        <v>0</v>
      </c>
    </row>
    <row r="465" spans="1:23" ht="15" customHeight="1" x14ac:dyDescent="0.2">
      <c r="A465" s="14" t="s">
        <v>2726</v>
      </c>
      <c r="B465" s="14" t="s">
        <v>2727</v>
      </c>
      <c r="C465" s="14" t="s">
        <v>2022</v>
      </c>
      <c r="D465" s="14" t="s">
        <v>39</v>
      </c>
      <c r="E465" s="14" t="s">
        <v>1993</v>
      </c>
      <c r="F465" s="14">
        <v>1816</v>
      </c>
      <c r="G465" s="15">
        <v>74.63</v>
      </c>
      <c r="H465" s="16">
        <v>45042</v>
      </c>
      <c r="I465" s="16">
        <v>44998</v>
      </c>
      <c r="J465" s="16"/>
      <c r="K465" s="14" t="s">
        <v>1989</v>
      </c>
      <c r="L465" s="16">
        <f>IF(D465="Packaging","",IF(ISNUMBER(J465),J465,IF(ISNUMBER(I465),EDATE(I465,VLOOKUP(D465,Assumptions!$A$10:$B$16,2,0)),"")))</f>
        <v>46094</v>
      </c>
      <c r="M465" s="14">
        <f>IF(ISNUMBER(L465),L465-Assumptions!$B$5,"")</f>
        <v>72</v>
      </c>
      <c r="N465" s="17">
        <f t="shared" si="42"/>
        <v>0.5</v>
      </c>
      <c r="O465" s="14">
        <f>IF(COUNTIF(Assumptions!$A$25:$A$27,A465)&gt;0,1,0)</f>
        <v>0</v>
      </c>
      <c r="P465" s="14">
        <f>IF(COUNTIF(Assumptions!$B$25:$B$26,A465)&gt;0,1,0)</f>
        <v>0</v>
      </c>
      <c r="Q465" s="14">
        <f>IF(COUNTIF(Assumptions!$C$25:$C$25,A465)&gt;0,1,0)</f>
        <v>0</v>
      </c>
      <c r="R465" s="17">
        <f t="shared" si="43"/>
        <v>0.5</v>
      </c>
      <c r="S465" s="15" t="str">
        <f>IFERROR(VLOOKUP(A465,Assumptions!$A$31:$B$33,2,0),"")</f>
        <v/>
      </c>
      <c r="T465" s="15">
        <f t="shared" si="44"/>
        <v>74.63</v>
      </c>
      <c r="U465" s="15">
        <f t="shared" si="45"/>
        <v>135528.07999999999</v>
      </c>
      <c r="V465" s="15">
        <f t="shared" si="46"/>
        <v>67764.039999999994</v>
      </c>
      <c r="W465" s="15">
        <f t="shared" si="47"/>
        <v>67764.039999999994</v>
      </c>
    </row>
    <row r="466" spans="1:23" ht="15" customHeight="1" x14ac:dyDescent="0.2">
      <c r="A466" s="14" t="s">
        <v>285</v>
      </c>
      <c r="B466" s="14" t="s">
        <v>284</v>
      </c>
      <c r="C466" s="14" t="s">
        <v>2142</v>
      </c>
      <c r="D466" s="14" t="s">
        <v>44</v>
      </c>
      <c r="E466" s="14" t="s">
        <v>1988</v>
      </c>
      <c r="F466" s="14">
        <v>204</v>
      </c>
      <c r="G466" s="15">
        <v>31.7</v>
      </c>
      <c r="H466" s="16">
        <v>45897</v>
      </c>
      <c r="I466" s="16">
        <v>45885</v>
      </c>
      <c r="J466" s="16">
        <v>46434</v>
      </c>
      <c r="K466" s="14" t="s">
        <v>1989</v>
      </c>
      <c r="L466" s="16">
        <f>IF(D466="Packaging","",IF(ISNUMBER(J466),J466,IF(ISNUMBER(I466),EDATE(I466,VLOOKUP(D466,Assumptions!$A$10:$B$16,2,0)),"")))</f>
        <v>46434</v>
      </c>
      <c r="M466" s="14">
        <f>IF(ISNUMBER(L466),L466-Assumptions!$B$5,"")</f>
        <v>412</v>
      </c>
      <c r="N466" s="17">
        <f t="shared" si="42"/>
        <v>0</v>
      </c>
      <c r="O466" s="14">
        <f>IF(COUNTIF(Assumptions!$A$25:$A$27,A466)&gt;0,1,0)</f>
        <v>0</v>
      </c>
      <c r="P466" s="14">
        <f>IF(COUNTIF(Assumptions!$B$25:$B$26,A466)&gt;0,1,0)</f>
        <v>0</v>
      </c>
      <c r="Q466" s="14">
        <f>IF(COUNTIF(Assumptions!$C$25:$C$25,A466)&gt;0,1,0)</f>
        <v>0</v>
      </c>
      <c r="R466" s="17">
        <f t="shared" si="43"/>
        <v>0</v>
      </c>
      <c r="S466" s="15" t="str">
        <f>IFERROR(VLOOKUP(A466,Assumptions!$A$31:$B$33,2,0),"")</f>
        <v/>
      </c>
      <c r="T466" s="15">
        <f t="shared" si="44"/>
        <v>31.7</v>
      </c>
      <c r="U466" s="15">
        <f t="shared" si="45"/>
        <v>6466.8</v>
      </c>
      <c r="V466" s="15">
        <f t="shared" si="46"/>
        <v>6466.8</v>
      </c>
      <c r="W466" s="15">
        <f t="shared" si="47"/>
        <v>0</v>
      </c>
    </row>
    <row r="467" spans="1:23" ht="15" customHeight="1" x14ac:dyDescent="0.2">
      <c r="A467" s="14" t="s">
        <v>2728</v>
      </c>
      <c r="B467" s="14" t="s">
        <v>2729</v>
      </c>
      <c r="C467" s="14" t="s">
        <v>1992</v>
      </c>
      <c r="D467" s="14" t="s">
        <v>45</v>
      </c>
      <c r="E467" s="14" t="s">
        <v>1988</v>
      </c>
      <c r="F467" s="14">
        <v>2638</v>
      </c>
      <c r="G467" s="15">
        <v>297.89</v>
      </c>
      <c r="H467" s="16">
        <v>46005</v>
      </c>
      <c r="I467" s="16">
        <v>46645</v>
      </c>
      <c r="J467" s="16">
        <v>46827</v>
      </c>
      <c r="K467" s="14" t="s">
        <v>2030</v>
      </c>
      <c r="L467" s="16">
        <f>IF(D467="Packaging","",IF(ISNUMBER(J467),J467,IF(ISNUMBER(I467),EDATE(I467,VLOOKUP(D467,Assumptions!$A$10:$B$16,2,0)),"")))</f>
        <v>46827</v>
      </c>
      <c r="M467" s="14">
        <f>IF(ISNUMBER(L467),L467-Assumptions!$B$5,"")</f>
        <v>805</v>
      </c>
      <c r="N467" s="17">
        <f t="shared" si="42"/>
        <v>0</v>
      </c>
      <c r="O467" s="14">
        <f>IF(COUNTIF(Assumptions!$A$25:$A$27,A467)&gt;0,1,0)</f>
        <v>0</v>
      </c>
      <c r="P467" s="14">
        <f>IF(COUNTIF(Assumptions!$B$25:$B$26,A467)&gt;0,1,0)</f>
        <v>0</v>
      </c>
      <c r="Q467" s="14">
        <f>IF(COUNTIF(Assumptions!$C$25:$C$25,A467)&gt;0,1,0)</f>
        <v>0</v>
      </c>
      <c r="R467" s="17">
        <f t="shared" si="43"/>
        <v>0</v>
      </c>
      <c r="S467" s="15" t="str">
        <f>IFERROR(VLOOKUP(A467,Assumptions!$A$31:$B$33,2,0),"")</f>
        <v/>
      </c>
      <c r="T467" s="15">
        <f t="shared" si="44"/>
        <v>297.89</v>
      </c>
      <c r="U467" s="15">
        <f t="shared" si="45"/>
        <v>785833.82</v>
      </c>
      <c r="V467" s="15">
        <f t="shared" si="46"/>
        <v>785833.82</v>
      </c>
      <c r="W467" s="15">
        <f t="shared" si="47"/>
        <v>0</v>
      </c>
    </row>
    <row r="468" spans="1:23" ht="15" customHeight="1" x14ac:dyDescent="0.2">
      <c r="A468" s="14" t="s">
        <v>2730</v>
      </c>
      <c r="B468" s="14" t="s">
        <v>2731</v>
      </c>
      <c r="C468" s="14" t="s">
        <v>2159</v>
      </c>
      <c r="D468" s="14" t="s">
        <v>46</v>
      </c>
      <c r="E468" s="14" t="s">
        <v>1993</v>
      </c>
      <c r="F468" s="14">
        <v>882</v>
      </c>
      <c r="G468" s="15">
        <v>36.369999999999997</v>
      </c>
      <c r="H468" s="16">
        <v>46005</v>
      </c>
      <c r="I468" s="16">
        <v>46042</v>
      </c>
      <c r="J468" s="16">
        <v>46315</v>
      </c>
      <c r="K468" s="14" t="s">
        <v>2021</v>
      </c>
      <c r="L468" s="16">
        <f>IF(D468="Packaging","",IF(ISNUMBER(J468),J468,IF(ISNUMBER(I468),EDATE(I468,VLOOKUP(D468,Assumptions!$A$10:$B$16,2,0)),"")))</f>
        <v>46315</v>
      </c>
      <c r="M468" s="14">
        <f>IF(ISNUMBER(L468),L468-Assumptions!$B$5,"")</f>
        <v>293</v>
      </c>
      <c r="N468" s="17">
        <f t="shared" si="42"/>
        <v>0</v>
      </c>
      <c r="O468" s="14">
        <f>IF(COUNTIF(Assumptions!$A$25:$A$27,A468)&gt;0,1,0)</f>
        <v>0</v>
      </c>
      <c r="P468" s="14">
        <f>IF(COUNTIF(Assumptions!$B$25:$B$26,A468)&gt;0,1,0)</f>
        <v>0</v>
      </c>
      <c r="Q468" s="14">
        <f>IF(COUNTIF(Assumptions!$C$25:$C$25,A468)&gt;0,1,0)</f>
        <v>0</v>
      </c>
      <c r="R468" s="17">
        <f t="shared" si="43"/>
        <v>0</v>
      </c>
      <c r="S468" s="15" t="str">
        <f>IFERROR(VLOOKUP(A468,Assumptions!$A$31:$B$33,2,0),"")</f>
        <v/>
      </c>
      <c r="T468" s="15">
        <f t="shared" si="44"/>
        <v>36.369999999999997</v>
      </c>
      <c r="U468" s="15">
        <f t="shared" si="45"/>
        <v>32078.339999999997</v>
      </c>
      <c r="V468" s="15">
        <f t="shared" si="46"/>
        <v>32078.339999999997</v>
      </c>
      <c r="W468" s="15">
        <f t="shared" si="47"/>
        <v>0</v>
      </c>
    </row>
    <row r="469" spans="1:23" ht="15" customHeight="1" x14ac:dyDescent="0.2">
      <c r="A469" s="14" t="s">
        <v>2732</v>
      </c>
      <c r="B469" s="14" t="s">
        <v>2733</v>
      </c>
      <c r="C469" s="14" t="s">
        <v>2076</v>
      </c>
      <c r="D469" s="14" t="s">
        <v>45</v>
      </c>
      <c r="E469" s="14" t="s">
        <v>2037</v>
      </c>
      <c r="F469" s="14">
        <v>3110</v>
      </c>
      <c r="G469" s="15">
        <v>191.16</v>
      </c>
      <c r="H469" s="16">
        <v>46006</v>
      </c>
      <c r="I469" s="16">
        <v>46369</v>
      </c>
      <c r="J469" s="16">
        <v>46551</v>
      </c>
      <c r="K469" s="14" t="s">
        <v>1989</v>
      </c>
      <c r="L469" s="16">
        <f>IF(D469="Packaging","",IF(ISNUMBER(J469),J469,IF(ISNUMBER(I469),EDATE(I469,VLOOKUP(D469,Assumptions!$A$10:$B$16,2,0)),"")))</f>
        <v>46551</v>
      </c>
      <c r="M469" s="14">
        <f>IF(ISNUMBER(L469),L469-Assumptions!$B$5,"")</f>
        <v>529</v>
      </c>
      <c r="N469" s="17">
        <f t="shared" si="42"/>
        <v>0</v>
      </c>
      <c r="O469" s="14">
        <f>IF(COUNTIF(Assumptions!$A$25:$A$27,A469)&gt;0,1,0)</f>
        <v>0</v>
      </c>
      <c r="P469" s="14">
        <f>IF(COUNTIF(Assumptions!$B$25:$B$26,A469)&gt;0,1,0)</f>
        <v>0</v>
      </c>
      <c r="Q469" s="14">
        <f>IF(COUNTIF(Assumptions!$C$25:$C$25,A469)&gt;0,1,0)</f>
        <v>0</v>
      </c>
      <c r="R469" s="17">
        <f t="shared" si="43"/>
        <v>0</v>
      </c>
      <c r="S469" s="15" t="str">
        <f>IFERROR(VLOOKUP(A469,Assumptions!$A$31:$B$33,2,0),"")</f>
        <v/>
      </c>
      <c r="T469" s="15">
        <f t="shared" si="44"/>
        <v>191.16</v>
      </c>
      <c r="U469" s="15">
        <f t="shared" si="45"/>
        <v>594507.6</v>
      </c>
      <c r="V469" s="15">
        <f t="shared" si="46"/>
        <v>594507.6</v>
      </c>
      <c r="W469" s="15">
        <f t="shared" si="47"/>
        <v>0</v>
      </c>
    </row>
    <row r="470" spans="1:23" ht="15" customHeight="1" x14ac:dyDescent="0.2">
      <c r="A470" s="14" t="s">
        <v>2734</v>
      </c>
      <c r="B470" s="14" t="s">
        <v>2735</v>
      </c>
      <c r="C470" s="14" t="s">
        <v>2049</v>
      </c>
      <c r="D470" s="14" t="s">
        <v>42</v>
      </c>
      <c r="E470" s="14" t="s">
        <v>1993</v>
      </c>
      <c r="F470" s="14">
        <v>2341</v>
      </c>
      <c r="G470" s="15">
        <v>23.72</v>
      </c>
      <c r="H470" s="16">
        <v>45969</v>
      </c>
      <c r="I470" s="16">
        <v>46474</v>
      </c>
      <c r="J470" s="16">
        <v>46840</v>
      </c>
      <c r="K470" s="14" t="s">
        <v>2021</v>
      </c>
      <c r="L470" s="16">
        <f>IF(D470="Packaging","",IF(ISNUMBER(J470),J470,IF(ISNUMBER(I470),EDATE(I470,VLOOKUP(D470,Assumptions!$A$10:$B$16,2,0)),"")))</f>
        <v>46840</v>
      </c>
      <c r="M470" s="14">
        <f>IF(ISNUMBER(L470),L470-Assumptions!$B$5,"")</f>
        <v>818</v>
      </c>
      <c r="N470" s="17">
        <f t="shared" si="42"/>
        <v>0</v>
      </c>
      <c r="O470" s="14">
        <f>IF(COUNTIF(Assumptions!$A$25:$A$27,A470)&gt;0,1,0)</f>
        <v>0</v>
      </c>
      <c r="P470" s="14">
        <f>IF(COUNTIF(Assumptions!$B$25:$B$26,A470)&gt;0,1,0)</f>
        <v>0</v>
      </c>
      <c r="Q470" s="14">
        <f>IF(COUNTIF(Assumptions!$C$25:$C$25,A470)&gt;0,1,0)</f>
        <v>0</v>
      </c>
      <c r="R470" s="17">
        <f t="shared" si="43"/>
        <v>0</v>
      </c>
      <c r="S470" s="15" t="str">
        <f>IFERROR(VLOOKUP(A470,Assumptions!$A$31:$B$33,2,0),"")</f>
        <v/>
      </c>
      <c r="T470" s="15">
        <f t="shared" si="44"/>
        <v>23.72</v>
      </c>
      <c r="U470" s="15">
        <f t="shared" si="45"/>
        <v>55528.52</v>
      </c>
      <c r="V470" s="15">
        <f t="shared" si="46"/>
        <v>55528.52</v>
      </c>
      <c r="W470" s="15">
        <f t="shared" si="47"/>
        <v>0</v>
      </c>
    </row>
    <row r="471" spans="1:23" ht="15" customHeight="1" x14ac:dyDescent="0.2">
      <c r="A471" s="14" t="s">
        <v>2736</v>
      </c>
      <c r="B471" s="14" t="s">
        <v>2737</v>
      </c>
      <c r="C471" s="14" t="s">
        <v>2042</v>
      </c>
      <c r="D471" s="14" t="s">
        <v>47</v>
      </c>
      <c r="E471" s="14" t="s">
        <v>1993</v>
      </c>
      <c r="F471" s="14">
        <v>3147</v>
      </c>
      <c r="G471" s="15">
        <v>362.36</v>
      </c>
      <c r="H471" s="16">
        <v>45863</v>
      </c>
      <c r="I471" s="16">
        <v>45788</v>
      </c>
      <c r="J471" s="16"/>
      <c r="K471" s="14" t="s">
        <v>1994</v>
      </c>
      <c r="L471" s="16" t="str">
        <f>IF(D471="Packaging","",IF(ISNUMBER(J471),J471,IF(ISNUMBER(I471),EDATE(I471,VLOOKUP(D471,Assumptions!$A$10:$B$16,2,0)),"")))</f>
        <v/>
      </c>
      <c r="M471" s="14" t="str">
        <f>IF(ISNUMBER(L471),L471-Assumptions!$B$5,"")</f>
        <v/>
      </c>
      <c r="N471" s="17">
        <f t="shared" si="42"/>
        <v>0</v>
      </c>
      <c r="O471" s="14">
        <f>IF(COUNTIF(Assumptions!$A$25:$A$27,A471)&gt;0,1,0)</f>
        <v>0</v>
      </c>
      <c r="P471" s="14">
        <f>IF(COUNTIF(Assumptions!$B$25:$B$26,A471)&gt;0,1,0)</f>
        <v>0</v>
      </c>
      <c r="Q471" s="14">
        <f>IF(COUNTIF(Assumptions!$C$25:$C$25,A471)&gt;0,1,0)</f>
        <v>0</v>
      </c>
      <c r="R471" s="17">
        <f t="shared" si="43"/>
        <v>0</v>
      </c>
      <c r="S471" s="15" t="str">
        <f>IFERROR(VLOOKUP(A471,Assumptions!$A$31:$B$33,2,0),"")</f>
        <v/>
      </c>
      <c r="T471" s="15">
        <f t="shared" si="44"/>
        <v>362.36</v>
      </c>
      <c r="U471" s="15">
        <f t="shared" si="45"/>
        <v>1140346.9200000002</v>
      </c>
      <c r="V471" s="15">
        <f t="shared" si="46"/>
        <v>1140346.9200000002</v>
      </c>
      <c r="W471" s="15">
        <f t="shared" si="47"/>
        <v>0</v>
      </c>
    </row>
    <row r="472" spans="1:23" ht="15" customHeight="1" x14ac:dyDescent="0.2">
      <c r="A472" s="14" t="s">
        <v>2738</v>
      </c>
      <c r="B472" s="14" t="s">
        <v>2739</v>
      </c>
      <c r="C472" s="14" t="s">
        <v>2000</v>
      </c>
      <c r="D472" s="14" t="s">
        <v>45</v>
      </c>
      <c r="E472" s="14" t="s">
        <v>2037</v>
      </c>
      <c r="F472" s="14">
        <v>1618</v>
      </c>
      <c r="G472" s="15">
        <v>208.57</v>
      </c>
      <c r="H472" s="16">
        <v>45995</v>
      </c>
      <c r="I472" s="16">
        <v>46563</v>
      </c>
      <c r="J472" s="16">
        <v>46746</v>
      </c>
      <c r="K472" s="14" t="s">
        <v>1989</v>
      </c>
      <c r="L472" s="16">
        <f>IF(D472="Packaging","",IF(ISNUMBER(J472),J472,IF(ISNUMBER(I472),EDATE(I472,VLOOKUP(D472,Assumptions!$A$10:$B$16,2,0)),"")))</f>
        <v>46746</v>
      </c>
      <c r="M472" s="14">
        <f>IF(ISNUMBER(L472),L472-Assumptions!$B$5,"")</f>
        <v>724</v>
      </c>
      <c r="N472" s="17">
        <f t="shared" si="42"/>
        <v>0</v>
      </c>
      <c r="O472" s="14">
        <f>IF(COUNTIF(Assumptions!$A$25:$A$27,A472)&gt;0,1,0)</f>
        <v>0</v>
      </c>
      <c r="P472" s="14">
        <f>IF(COUNTIF(Assumptions!$B$25:$B$26,A472)&gt;0,1,0)</f>
        <v>0</v>
      </c>
      <c r="Q472" s="14">
        <f>IF(COUNTIF(Assumptions!$C$25:$C$25,A472)&gt;0,1,0)</f>
        <v>0</v>
      </c>
      <c r="R472" s="17">
        <f t="shared" si="43"/>
        <v>0</v>
      </c>
      <c r="S472" s="15" t="str">
        <f>IFERROR(VLOOKUP(A472,Assumptions!$A$31:$B$33,2,0),"")</f>
        <v/>
      </c>
      <c r="T472" s="15">
        <f t="shared" si="44"/>
        <v>208.57</v>
      </c>
      <c r="U472" s="15">
        <f t="shared" si="45"/>
        <v>337466.26</v>
      </c>
      <c r="V472" s="15">
        <f t="shared" si="46"/>
        <v>337466.26</v>
      </c>
      <c r="W472" s="15">
        <f t="shared" si="47"/>
        <v>0</v>
      </c>
    </row>
    <row r="473" spans="1:23" ht="15" customHeight="1" x14ac:dyDescent="0.2">
      <c r="A473" s="14" t="s">
        <v>1286</v>
      </c>
      <c r="B473" s="14" t="s">
        <v>1285</v>
      </c>
      <c r="C473" s="14" t="s">
        <v>2022</v>
      </c>
      <c r="D473" s="14" t="s">
        <v>39</v>
      </c>
      <c r="E473" s="14" t="s">
        <v>1988</v>
      </c>
      <c r="F473" s="14">
        <v>2160</v>
      </c>
      <c r="G473" s="15">
        <v>111.49</v>
      </c>
      <c r="H473" s="16">
        <v>45411</v>
      </c>
      <c r="I473" s="16">
        <v>45353</v>
      </c>
      <c r="J473" s="16">
        <v>46448</v>
      </c>
      <c r="K473" s="14" t="s">
        <v>1994</v>
      </c>
      <c r="L473" s="16">
        <f>IF(D473="Packaging","",IF(ISNUMBER(J473),J473,IF(ISNUMBER(I473),EDATE(I473,VLOOKUP(D473,Assumptions!$A$10:$B$16,2,0)),"")))</f>
        <v>46448</v>
      </c>
      <c r="M473" s="14">
        <f>IF(ISNUMBER(L473),L473-Assumptions!$B$5,"")</f>
        <v>426</v>
      </c>
      <c r="N473" s="17">
        <f t="shared" si="42"/>
        <v>0</v>
      </c>
      <c r="O473" s="14">
        <f>IF(COUNTIF(Assumptions!$A$25:$A$27,A473)&gt;0,1,0)</f>
        <v>0</v>
      </c>
      <c r="P473" s="14">
        <f>IF(COUNTIF(Assumptions!$B$25:$B$26,A473)&gt;0,1,0)</f>
        <v>0</v>
      </c>
      <c r="Q473" s="14">
        <f>IF(COUNTIF(Assumptions!$C$25:$C$25,A473)&gt;0,1,0)</f>
        <v>0</v>
      </c>
      <c r="R473" s="17">
        <f t="shared" si="43"/>
        <v>0</v>
      </c>
      <c r="S473" s="15" t="str">
        <f>IFERROR(VLOOKUP(A473,Assumptions!$A$31:$B$33,2,0),"")</f>
        <v/>
      </c>
      <c r="T473" s="15">
        <f t="shared" si="44"/>
        <v>111.49</v>
      </c>
      <c r="U473" s="15">
        <f t="shared" si="45"/>
        <v>240818.4</v>
      </c>
      <c r="V473" s="15">
        <f t="shared" si="46"/>
        <v>240818.4</v>
      </c>
      <c r="W473" s="15">
        <f t="shared" si="47"/>
        <v>0</v>
      </c>
    </row>
    <row r="474" spans="1:23" ht="15" customHeight="1" x14ac:dyDescent="0.2">
      <c r="A474" s="14" t="s">
        <v>642</v>
      </c>
      <c r="B474" s="14" t="s">
        <v>641</v>
      </c>
      <c r="C474" s="14" t="s">
        <v>2018</v>
      </c>
      <c r="D474" s="14" t="s">
        <v>36</v>
      </c>
      <c r="E474" s="14" t="s">
        <v>2014</v>
      </c>
      <c r="F474" s="14">
        <v>294</v>
      </c>
      <c r="G474" s="15">
        <v>281.74</v>
      </c>
      <c r="H474" s="16">
        <v>45797</v>
      </c>
      <c r="I474" s="16">
        <v>45731</v>
      </c>
      <c r="J474" s="16">
        <v>46461</v>
      </c>
      <c r="K474" s="14" t="s">
        <v>2021</v>
      </c>
      <c r="L474" s="16">
        <f>IF(D474="Packaging","",IF(ISNUMBER(J474),J474,IF(ISNUMBER(I474),EDATE(I474,VLOOKUP(D474,Assumptions!$A$10:$B$16,2,0)),"")))</f>
        <v>46461</v>
      </c>
      <c r="M474" s="14">
        <f>IF(ISNUMBER(L474),L474-Assumptions!$B$5,"")</f>
        <v>439</v>
      </c>
      <c r="N474" s="17">
        <f t="shared" si="42"/>
        <v>0</v>
      </c>
      <c r="O474" s="14">
        <f>IF(COUNTIF(Assumptions!$A$25:$A$27,A474)&gt;0,1,0)</f>
        <v>0</v>
      </c>
      <c r="P474" s="14">
        <f>IF(COUNTIF(Assumptions!$B$25:$B$26,A474)&gt;0,1,0)</f>
        <v>0</v>
      </c>
      <c r="Q474" s="14">
        <f>IF(COUNTIF(Assumptions!$C$25:$C$25,A474)&gt;0,1,0)</f>
        <v>0</v>
      </c>
      <c r="R474" s="17">
        <f t="shared" si="43"/>
        <v>0</v>
      </c>
      <c r="S474" s="15" t="str">
        <f>IFERROR(VLOOKUP(A474,Assumptions!$A$31:$B$33,2,0),"")</f>
        <v/>
      </c>
      <c r="T474" s="15">
        <f t="shared" si="44"/>
        <v>281.74</v>
      </c>
      <c r="U474" s="15">
        <f t="shared" si="45"/>
        <v>82831.56</v>
      </c>
      <c r="V474" s="15">
        <f t="shared" si="46"/>
        <v>82831.56</v>
      </c>
      <c r="W474" s="15">
        <f t="shared" si="47"/>
        <v>0</v>
      </c>
    </row>
    <row r="475" spans="1:23" ht="15" customHeight="1" x14ac:dyDescent="0.2">
      <c r="A475" s="14" t="s">
        <v>2740</v>
      </c>
      <c r="B475" s="14" t="s">
        <v>2741</v>
      </c>
      <c r="C475" s="14" t="s">
        <v>2069</v>
      </c>
      <c r="D475" s="14" t="s">
        <v>47</v>
      </c>
      <c r="E475" s="14" t="s">
        <v>1993</v>
      </c>
      <c r="F475" s="14">
        <v>1491</v>
      </c>
      <c r="G475" s="15">
        <v>402.51</v>
      </c>
      <c r="H475" s="16">
        <v>45842</v>
      </c>
      <c r="I475" s="16">
        <v>45768</v>
      </c>
      <c r="J475" s="16"/>
      <c r="K475" s="14" t="s">
        <v>2052</v>
      </c>
      <c r="L475" s="16" t="str">
        <f>IF(D475="Packaging","",IF(ISNUMBER(J475),J475,IF(ISNUMBER(I475),EDATE(I475,VLOOKUP(D475,Assumptions!$A$10:$B$16,2,0)),"")))</f>
        <v/>
      </c>
      <c r="M475" s="14" t="str">
        <f>IF(ISNUMBER(L475),L475-Assumptions!$B$5,"")</f>
        <v/>
      </c>
      <c r="N475" s="17">
        <f t="shared" si="42"/>
        <v>0</v>
      </c>
      <c r="O475" s="14">
        <f>IF(COUNTIF(Assumptions!$A$25:$A$27,A475)&gt;0,1,0)</f>
        <v>0</v>
      </c>
      <c r="P475" s="14">
        <f>IF(COUNTIF(Assumptions!$B$25:$B$26,A475)&gt;0,1,0)</f>
        <v>0</v>
      </c>
      <c r="Q475" s="14">
        <f>IF(COUNTIF(Assumptions!$C$25:$C$25,A475)&gt;0,1,0)</f>
        <v>0</v>
      </c>
      <c r="R475" s="17">
        <f t="shared" si="43"/>
        <v>0</v>
      </c>
      <c r="S475" s="15" t="str">
        <f>IFERROR(VLOOKUP(A475,Assumptions!$A$31:$B$33,2,0),"")</f>
        <v/>
      </c>
      <c r="T475" s="15">
        <f t="shared" si="44"/>
        <v>402.51</v>
      </c>
      <c r="U475" s="15">
        <f t="shared" si="45"/>
        <v>600142.41</v>
      </c>
      <c r="V475" s="15">
        <f t="shared" si="46"/>
        <v>600142.41</v>
      </c>
      <c r="W475" s="15">
        <f t="shared" si="47"/>
        <v>0</v>
      </c>
    </row>
    <row r="476" spans="1:23" ht="15" customHeight="1" x14ac:dyDescent="0.2">
      <c r="A476" s="14" t="s">
        <v>2742</v>
      </c>
      <c r="B476" s="14" t="s">
        <v>2743</v>
      </c>
      <c r="C476" s="14" t="s">
        <v>1997</v>
      </c>
      <c r="D476" s="14" t="s">
        <v>45</v>
      </c>
      <c r="E476" s="14" t="s">
        <v>1993</v>
      </c>
      <c r="F476" s="14">
        <v>4750</v>
      </c>
      <c r="G476" s="15">
        <v>280.63</v>
      </c>
      <c r="H476" s="16">
        <v>46000</v>
      </c>
      <c r="I476" s="16">
        <v>46572</v>
      </c>
      <c r="J476" s="16"/>
      <c r="K476" s="14" t="s">
        <v>1994</v>
      </c>
      <c r="L476" s="16">
        <f>IF(D476="Packaging","",IF(ISNUMBER(J476),J476,IF(ISNUMBER(I476),EDATE(I476,VLOOKUP(D476,Assumptions!$A$10:$B$16,2,0)),"")))</f>
        <v>46756</v>
      </c>
      <c r="M476" s="14">
        <f>IF(ISNUMBER(L476),L476-Assumptions!$B$5,"")</f>
        <v>734</v>
      </c>
      <c r="N476" s="17">
        <f t="shared" si="42"/>
        <v>0</v>
      </c>
      <c r="O476" s="14">
        <f>IF(COUNTIF(Assumptions!$A$25:$A$27,A476)&gt;0,1,0)</f>
        <v>0</v>
      </c>
      <c r="P476" s="14">
        <f>IF(COUNTIF(Assumptions!$B$25:$B$26,A476)&gt;0,1,0)</f>
        <v>0</v>
      </c>
      <c r="Q476" s="14">
        <f>IF(COUNTIF(Assumptions!$C$25:$C$25,A476)&gt;0,1,0)</f>
        <v>0</v>
      </c>
      <c r="R476" s="17">
        <f t="shared" si="43"/>
        <v>0</v>
      </c>
      <c r="S476" s="15" t="str">
        <f>IFERROR(VLOOKUP(A476,Assumptions!$A$31:$B$33,2,0),"")</f>
        <v/>
      </c>
      <c r="T476" s="15">
        <f t="shared" si="44"/>
        <v>280.63</v>
      </c>
      <c r="U476" s="15">
        <f t="shared" si="45"/>
        <v>1332992.5</v>
      </c>
      <c r="V476" s="15">
        <f t="shared" si="46"/>
        <v>1332992.5</v>
      </c>
      <c r="W476" s="15">
        <f t="shared" si="47"/>
        <v>0</v>
      </c>
    </row>
    <row r="477" spans="1:23" ht="15" customHeight="1" x14ac:dyDescent="0.2">
      <c r="A477" s="14" t="s">
        <v>2744</v>
      </c>
      <c r="B477" s="14" t="s">
        <v>2745</v>
      </c>
      <c r="C477" s="14" t="s">
        <v>2066</v>
      </c>
      <c r="D477" s="14" t="s">
        <v>42</v>
      </c>
      <c r="E477" s="14" t="s">
        <v>1988</v>
      </c>
      <c r="F477" s="14">
        <v>843</v>
      </c>
      <c r="G477" s="15">
        <v>107.24</v>
      </c>
      <c r="H477" s="16">
        <v>45993</v>
      </c>
      <c r="I477" s="16">
        <v>46359</v>
      </c>
      <c r="J477" s="16"/>
      <c r="K477" s="14" t="s">
        <v>2030</v>
      </c>
      <c r="L477" s="16">
        <f>IF(D477="Packaging","",IF(ISNUMBER(J477),J477,IF(ISNUMBER(I477),EDATE(I477,VLOOKUP(D477,Assumptions!$A$10:$B$16,2,0)),"")))</f>
        <v>46724</v>
      </c>
      <c r="M477" s="14">
        <f>IF(ISNUMBER(L477),L477-Assumptions!$B$5,"")</f>
        <v>702</v>
      </c>
      <c r="N477" s="17">
        <f t="shared" si="42"/>
        <v>0</v>
      </c>
      <c r="O477" s="14">
        <f>IF(COUNTIF(Assumptions!$A$25:$A$27,A477)&gt;0,1,0)</f>
        <v>0</v>
      </c>
      <c r="P477" s="14">
        <f>IF(COUNTIF(Assumptions!$B$25:$B$26,A477)&gt;0,1,0)</f>
        <v>0</v>
      </c>
      <c r="Q477" s="14">
        <f>IF(COUNTIF(Assumptions!$C$25:$C$25,A477)&gt;0,1,0)</f>
        <v>0</v>
      </c>
      <c r="R477" s="17">
        <f t="shared" si="43"/>
        <v>0</v>
      </c>
      <c r="S477" s="15" t="str">
        <f>IFERROR(VLOOKUP(A477,Assumptions!$A$31:$B$33,2,0),"")</f>
        <v/>
      </c>
      <c r="T477" s="15">
        <f t="shared" si="44"/>
        <v>107.24</v>
      </c>
      <c r="U477" s="15">
        <f t="shared" si="45"/>
        <v>90403.319999999992</v>
      </c>
      <c r="V477" s="15">
        <f t="shared" si="46"/>
        <v>90403.319999999992</v>
      </c>
      <c r="W477" s="15">
        <f t="shared" si="47"/>
        <v>0</v>
      </c>
    </row>
    <row r="478" spans="1:23" ht="15" customHeight="1" x14ac:dyDescent="0.2">
      <c r="A478" s="14" t="s">
        <v>2746</v>
      </c>
      <c r="B478" s="14" t="s">
        <v>2747</v>
      </c>
      <c r="C478" s="14" t="s">
        <v>2137</v>
      </c>
      <c r="D478" s="14" t="s">
        <v>36</v>
      </c>
      <c r="E478" s="14" t="s">
        <v>2014</v>
      </c>
      <c r="F478" s="14">
        <v>1622</v>
      </c>
      <c r="G478" s="15">
        <v>235.05</v>
      </c>
      <c r="H478" s="16">
        <v>45990</v>
      </c>
      <c r="I478" s="16">
        <v>45926</v>
      </c>
      <c r="J478" s="16">
        <v>46656</v>
      </c>
      <c r="K478" s="14" t="s">
        <v>1989</v>
      </c>
      <c r="L478" s="16">
        <f>IF(D478="Packaging","",IF(ISNUMBER(J478),J478,IF(ISNUMBER(I478),EDATE(I478,VLOOKUP(D478,Assumptions!$A$10:$B$16,2,0)),"")))</f>
        <v>46656</v>
      </c>
      <c r="M478" s="14">
        <f>IF(ISNUMBER(L478),L478-Assumptions!$B$5,"")</f>
        <v>634</v>
      </c>
      <c r="N478" s="17">
        <f t="shared" si="42"/>
        <v>0</v>
      </c>
      <c r="O478" s="14">
        <f>IF(COUNTIF(Assumptions!$A$25:$A$27,A478)&gt;0,1,0)</f>
        <v>0</v>
      </c>
      <c r="P478" s="14">
        <f>IF(COUNTIF(Assumptions!$B$25:$B$26,A478)&gt;0,1,0)</f>
        <v>0</v>
      </c>
      <c r="Q478" s="14">
        <f>IF(COUNTIF(Assumptions!$C$25:$C$25,A478)&gt;0,1,0)</f>
        <v>0</v>
      </c>
      <c r="R478" s="17">
        <f t="shared" si="43"/>
        <v>0</v>
      </c>
      <c r="S478" s="15" t="str">
        <f>IFERROR(VLOOKUP(A478,Assumptions!$A$31:$B$33,2,0),"")</f>
        <v/>
      </c>
      <c r="T478" s="15">
        <f t="shared" si="44"/>
        <v>235.05</v>
      </c>
      <c r="U478" s="15">
        <f t="shared" si="45"/>
        <v>381251.10000000003</v>
      </c>
      <c r="V478" s="15">
        <f t="shared" si="46"/>
        <v>381251.10000000003</v>
      </c>
      <c r="W478" s="15">
        <f t="shared" si="47"/>
        <v>0</v>
      </c>
    </row>
    <row r="479" spans="1:23" ht="15" customHeight="1" x14ac:dyDescent="0.2">
      <c r="A479" s="14" t="s">
        <v>2748</v>
      </c>
      <c r="B479" s="14" t="s">
        <v>2749</v>
      </c>
      <c r="C479" s="14" t="s">
        <v>2043</v>
      </c>
      <c r="D479" s="14" t="s">
        <v>39</v>
      </c>
      <c r="E479" s="14" t="s">
        <v>2037</v>
      </c>
      <c r="F479" s="14">
        <v>1961</v>
      </c>
      <c r="G479" s="15">
        <v>365.22</v>
      </c>
      <c r="H479" s="16">
        <v>44965</v>
      </c>
      <c r="I479" s="16">
        <v>44895</v>
      </c>
      <c r="J479" s="16"/>
      <c r="K479" s="14" t="s">
        <v>2021</v>
      </c>
      <c r="L479" s="16">
        <f>IF(D479="Packaging","",IF(ISNUMBER(J479),J479,IF(ISNUMBER(I479),EDATE(I479,VLOOKUP(D479,Assumptions!$A$10:$B$16,2,0)),"")))</f>
        <v>45991</v>
      </c>
      <c r="M479" s="14">
        <f>IF(ISNUMBER(L479),L479-Assumptions!$B$5,"")</f>
        <v>-31</v>
      </c>
      <c r="N479" s="17">
        <f t="shared" si="42"/>
        <v>1</v>
      </c>
      <c r="O479" s="14">
        <f>IF(COUNTIF(Assumptions!$A$25:$A$27,A479)&gt;0,1,0)</f>
        <v>0</v>
      </c>
      <c r="P479" s="14">
        <f>IF(COUNTIF(Assumptions!$B$25:$B$26,A479)&gt;0,1,0)</f>
        <v>0</v>
      </c>
      <c r="Q479" s="14">
        <f>IF(COUNTIF(Assumptions!$C$25:$C$25,A479)&gt;0,1,0)</f>
        <v>0</v>
      </c>
      <c r="R479" s="17">
        <f t="shared" si="43"/>
        <v>1</v>
      </c>
      <c r="S479" s="15" t="str">
        <f>IFERROR(VLOOKUP(A479,Assumptions!$A$31:$B$33,2,0),"")</f>
        <v/>
      </c>
      <c r="T479" s="15">
        <f t="shared" si="44"/>
        <v>365.22</v>
      </c>
      <c r="U479" s="15">
        <f t="shared" si="45"/>
        <v>716196.42</v>
      </c>
      <c r="V479" s="15">
        <f t="shared" si="46"/>
        <v>0</v>
      </c>
      <c r="W479" s="15">
        <f t="shared" si="47"/>
        <v>716196.42</v>
      </c>
    </row>
    <row r="480" spans="1:23" ht="15" customHeight="1" x14ac:dyDescent="0.2">
      <c r="A480" s="14" t="s">
        <v>2750</v>
      </c>
      <c r="B480" s="14" t="s">
        <v>2751</v>
      </c>
      <c r="C480" s="14" t="s">
        <v>2101</v>
      </c>
      <c r="D480" s="14" t="s">
        <v>46</v>
      </c>
      <c r="E480" s="14" t="s">
        <v>1993</v>
      </c>
      <c r="F480" s="14">
        <v>3816</v>
      </c>
      <c r="G480" s="15">
        <v>34.9</v>
      </c>
      <c r="H480" s="16">
        <v>45992</v>
      </c>
      <c r="I480" s="16">
        <v>46476</v>
      </c>
      <c r="J480" s="16"/>
      <c r="K480" s="14" t="s">
        <v>1994</v>
      </c>
      <c r="L480" s="16">
        <f>IF(D480="Packaging","",IF(ISNUMBER(J480),J480,IF(ISNUMBER(I480),EDATE(I480,VLOOKUP(D480,Assumptions!$A$10:$B$16,2,0)),"")))</f>
        <v>46751</v>
      </c>
      <c r="M480" s="14">
        <f>IF(ISNUMBER(L480),L480-Assumptions!$B$5,"")</f>
        <v>729</v>
      </c>
      <c r="N480" s="17">
        <f t="shared" si="42"/>
        <v>0</v>
      </c>
      <c r="O480" s="14">
        <f>IF(COUNTIF(Assumptions!$A$25:$A$27,A480)&gt;0,1,0)</f>
        <v>0</v>
      </c>
      <c r="P480" s="14">
        <f>IF(COUNTIF(Assumptions!$B$25:$B$26,A480)&gt;0,1,0)</f>
        <v>0</v>
      </c>
      <c r="Q480" s="14">
        <f>IF(COUNTIF(Assumptions!$C$25:$C$25,A480)&gt;0,1,0)</f>
        <v>0</v>
      </c>
      <c r="R480" s="17">
        <f t="shared" si="43"/>
        <v>0</v>
      </c>
      <c r="S480" s="15" t="str">
        <f>IFERROR(VLOOKUP(A480,Assumptions!$A$31:$B$33,2,0),"")</f>
        <v/>
      </c>
      <c r="T480" s="15">
        <f t="shared" si="44"/>
        <v>34.9</v>
      </c>
      <c r="U480" s="15">
        <f t="shared" si="45"/>
        <v>133178.4</v>
      </c>
      <c r="V480" s="15">
        <f t="shared" si="46"/>
        <v>133178.4</v>
      </c>
      <c r="W480" s="15">
        <f t="shared" si="47"/>
        <v>0</v>
      </c>
    </row>
    <row r="481" spans="1:23" ht="15" customHeight="1" x14ac:dyDescent="0.2">
      <c r="A481" s="14" t="s">
        <v>2752</v>
      </c>
      <c r="B481" s="14" t="s">
        <v>2753</v>
      </c>
      <c r="C481" s="14" t="s">
        <v>2069</v>
      </c>
      <c r="D481" s="14" t="s">
        <v>47</v>
      </c>
      <c r="E481" s="14" t="s">
        <v>1993</v>
      </c>
      <c r="F481" s="14">
        <v>1943</v>
      </c>
      <c r="G481" s="15">
        <v>351.71</v>
      </c>
      <c r="H481" s="16">
        <v>45951</v>
      </c>
      <c r="I481" s="16">
        <v>45874</v>
      </c>
      <c r="J481" s="16"/>
      <c r="K481" s="14" t="s">
        <v>2030</v>
      </c>
      <c r="L481" s="16" t="str">
        <f>IF(D481="Packaging","",IF(ISNUMBER(J481),J481,IF(ISNUMBER(I481),EDATE(I481,VLOOKUP(D481,Assumptions!$A$10:$B$16,2,0)),"")))</f>
        <v/>
      </c>
      <c r="M481" s="14" t="str">
        <f>IF(ISNUMBER(L481),L481-Assumptions!$B$5,"")</f>
        <v/>
      </c>
      <c r="N481" s="17">
        <f t="shared" si="42"/>
        <v>0</v>
      </c>
      <c r="O481" s="14">
        <f>IF(COUNTIF(Assumptions!$A$25:$A$27,A481)&gt;0,1,0)</f>
        <v>0</v>
      </c>
      <c r="P481" s="14">
        <f>IF(COUNTIF(Assumptions!$B$25:$B$26,A481)&gt;0,1,0)</f>
        <v>0</v>
      </c>
      <c r="Q481" s="14">
        <f>IF(COUNTIF(Assumptions!$C$25:$C$25,A481)&gt;0,1,0)</f>
        <v>0</v>
      </c>
      <c r="R481" s="17">
        <f t="shared" si="43"/>
        <v>0</v>
      </c>
      <c r="S481" s="15" t="str">
        <f>IFERROR(VLOOKUP(A481,Assumptions!$A$31:$B$33,2,0),"")</f>
        <v/>
      </c>
      <c r="T481" s="15">
        <f t="shared" si="44"/>
        <v>351.71</v>
      </c>
      <c r="U481" s="15">
        <f t="shared" si="45"/>
        <v>683372.52999999991</v>
      </c>
      <c r="V481" s="15">
        <f t="shared" si="46"/>
        <v>683372.52999999991</v>
      </c>
      <c r="W481" s="15">
        <f t="shared" si="47"/>
        <v>0</v>
      </c>
    </row>
    <row r="482" spans="1:23" ht="15" customHeight="1" x14ac:dyDescent="0.2">
      <c r="A482" s="14" t="s">
        <v>2754</v>
      </c>
      <c r="B482" s="14" t="s">
        <v>2755</v>
      </c>
      <c r="C482" s="14" t="s">
        <v>2107</v>
      </c>
      <c r="D482" s="14" t="s">
        <v>42</v>
      </c>
      <c r="E482" s="14" t="s">
        <v>1988</v>
      </c>
      <c r="F482" s="14">
        <v>1089</v>
      </c>
      <c r="G482" s="15">
        <v>76</v>
      </c>
      <c r="H482" s="16">
        <v>45985</v>
      </c>
      <c r="I482" s="16">
        <v>46152</v>
      </c>
      <c r="J482" s="16"/>
      <c r="K482" s="14" t="s">
        <v>2021</v>
      </c>
      <c r="L482" s="16">
        <f>IF(D482="Packaging","",IF(ISNUMBER(J482),J482,IF(ISNUMBER(I482),EDATE(I482,VLOOKUP(D482,Assumptions!$A$10:$B$16,2,0)),"")))</f>
        <v>46517</v>
      </c>
      <c r="M482" s="14">
        <f>IF(ISNUMBER(L482),L482-Assumptions!$B$5,"")</f>
        <v>495</v>
      </c>
      <c r="N482" s="17">
        <f t="shared" si="42"/>
        <v>0</v>
      </c>
      <c r="O482" s="14">
        <f>IF(COUNTIF(Assumptions!$A$25:$A$27,A482)&gt;0,1,0)</f>
        <v>0</v>
      </c>
      <c r="P482" s="14">
        <f>IF(COUNTIF(Assumptions!$B$25:$B$26,A482)&gt;0,1,0)</f>
        <v>0</v>
      </c>
      <c r="Q482" s="14">
        <f>IF(COUNTIF(Assumptions!$C$25:$C$25,A482)&gt;0,1,0)</f>
        <v>0</v>
      </c>
      <c r="R482" s="17">
        <f t="shared" si="43"/>
        <v>0</v>
      </c>
      <c r="S482" s="15" t="str">
        <f>IFERROR(VLOOKUP(A482,Assumptions!$A$31:$B$33,2,0),"")</f>
        <v/>
      </c>
      <c r="T482" s="15">
        <f t="shared" si="44"/>
        <v>76</v>
      </c>
      <c r="U482" s="15">
        <f t="shared" si="45"/>
        <v>82764</v>
      </c>
      <c r="V482" s="15">
        <f t="shared" si="46"/>
        <v>82764</v>
      </c>
      <c r="W482" s="15">
        <f t="shared" si="47"/>
        <v>0</v>
      </c>
    </row>
    <row r="483" spans="1:23" ht="15" customHeight="1" x14ac:dyDescent="0.2">
      <c r="A483" s="14" t="s">
        <v>2756</v>
      </c>
      <c r="B483" s="14" t="s">
        <v>2757</v>
      </c>
      <c r="C483" s="14" t="s">
        <v>2159</v>
      </c>
      <c r="D483" s="14" t="s">
        <v>46</v>
      </c>
      <c r="E483" s="14" t="s">
        <v>1988</v>
      </c>
      <c r="F483" s="14">
        <v>1585</v>
      </c>
      <c r="G483" s="15">
        <v>11.18</v>
      </c>
      <c r="H483" s="16">
        <v>45969</v>
      </c>
      <c r="I483" s="16">
        <v>46328</v>
      </c>
      <c r="J483" s="16"/>
      <c r="K483" s="14" t="s">
        <v>2004</v>
      </c>
      <c r="L483" s="16">
        <f>IF(D483="Packaging","",IF(ISNUMBER(J483),J483,IF(ISNUMBER(I483),EDATE(I483,VLOOKUP(D483,Assumptions!$A$10:$B$16,2,0)),"")))</f>
        <v>46601</v>
      </c>
      <c r="M483" s="14">
        <f>IF(ISNUMBER(L483),L483-Assumptions!$B$5,"")</f>
        <v>579</v>
      </c>
      <c r="N483" s="17">
        <f t="shared" si="42"/>
        <v>0</v>
      </c>
      <c r="O483" s="14">
        <f>IF(COUNTIF(Assumptions!$A$25:$A$27,A483)&gt;0,1,0)</f>
        <v>0</v>
      </c>
      <c r="P483" s="14">
        <f>IF(COUNTIF(Assumptions!$B$25:$B$26,A483)&gt;0,1,0)</f>
        <v>0</v>
      </c>
      <c r="Q483" s="14">
        <f>IF(COUNTIF(Assumptions!$C$25:$C$25,A483)&gt;0,1,0)</f>
        <v>0</v>
      </c>
      <c r="R483" s="17">
        <f t="shared" si="43"/>
        <v>0</v>
      </c>
      <c r="S483" s="15" t="str">
        <f>IFERROR(VLOOKUP(A483,Assumptions!$A$31:$B$33,2,0),"")</f>
        <v/>
      </c>
      <c r="T483" s="15">
        <f t="shared" si="44"/>
        <v>11.18</v>
      </c>
      <c r="U483" s="15">
        <f t="shared" si="45"/>
        <v>17720.3</v>
      </c>
      <c r="V483" s="15">
        <f t="shared" si="46"/>
        <v>17720.3</v>
      </c>
      <c r="W483" s="15">
        <f t="shared" si="47"/>
        <v>0</v>
      </c>
    </row>
    <row r="484" spans="1:23" ht="15" customHeight="1" x14ac:dyDescent="0.2">
      <c r="A484" s="14" t="s">
        <v>1313</v>
      </c>
      <c r="B484" s="14" t="s">
        <v>1312</v>
      </c>
      <c r="C484" s="14" t="s">
        <v>2192</v>
      </c>
      <c r="D484" s="14" t="s">
        <v>39</v>
      </c>
      <c r="E484" s="14" t="s">
        <v>1988</v>
      </c>
      <c r="F484" s="14">
        <v>48</v>
      </c>
      <c r="G484" s="15">
        <v>394.3</v>
      </c>
      <c r="H484" s="16">
        <v>45713</v>
      </c>
      <c r="I484" s="16">
        <v>45656</v>
      </c>
      <c r="J484" s="16"/>
      <c r="K484" s="14" t="s">
        <v>1994</v>
      </c>
      <c r="L484" s="16">
        <f>IF(D484="Packaging","",IF(ISNUMBER(J484),J484,IF(ISNUMBER(I484),EDATE(I484,VLOOKUP(D484,Assumptions!$A$10:$B$16,2,0)),"")))</f>
        <v>46751</v>
      </c>
      <c r="M484" s="14">
        <f>IF(ISNUMBER(L484),L484-Assumptions!$B$5,"")</f>
        <v>729</v>
      </c>
      <c r="N484" s="17">
        <f t="shared" si="42"/>
        <v>0</v>
      </c>
      <c r="O484" s="14">
        <f>IF(COUNTIF(Assumptions!$A$25:$A$27,A484)&gt;0,1,0)</f>
        <v>0</v>
      </c>
      <c r="P484" s="14">
        <f>IF(COUNTIF(Assumptions!$B$25:$B$26,A484)&gt;0,1,0)</f>
        <v>0</v>
      </c>
      <c r="Q484" s="14">
        <f>IF(COUNTIF(Assumptions!$C$25:$C$25,A484)&gt;0,1,0)</f>
        <v>0</v>
      </c>
      <c r="R484" s="17">
        <f t="shared" si="43"/>
        <v>0</v>
      </c>
      <c r="S484" s="15" t="str">
        <f>IFERROR(VLOOKUP(A484,Assumptions!$A$31:$B$33,2,0),"")</f>
        <v/>
      </c>
      <c r="T484" s="15">
        <f t="shared" si="44"/>
        <v>394.3</v>
      </c>
      <c r="U484" s="15">
        <f t="shared" si="45"/>
        <v>18926.400000000001</v>
      </c>
      <c r="V484" s="15">
        <f t="shared" si="46"/>
        <v>18926.400000000001</v>
      </c>
      <c r="W484" s="15">
        <f t="shared" si="47"/>
        <v>0</v>
      </c>
    </row>
    <row r="485" spans="1:23" ht="15" customHeight="1" x14ac:dyDescent="0.2">
      <c r="A485" s="14" t="s">
        <v>2758</v>
      </c>
      <c r="B485" s="14" t="s">
        <v>2759</v>
      </c>
      <c r="C485" s="14" t="s">
        <v>2036</v>
      </c>
      <c r="D485" s="14" t="s">
        <v>45</v>
      </c>
      <c r="E485" s="14" t="s">
        <v>2014</v>
      </c>
      <c r="F485" s="14">
        <v>258</v>
      </c>
      <c r="G485" s="15">
        <v>167.83</v>
      </c>
      <c r="H485" s="16">
        <v>45971</v>
      </c>
      <c r="I485" s="16">
        <v>46151</v>
      </c>
      <c r="J485" s="16">
        <v>46335</v>
      </c>
      <c r="K485" s="14" t="s">
        <v>2052</v>
      </c>
      <c r="L485" s="16">
        <f>IF(D485="Packaging","",IF(ISNUMBER(J485),J485,IF(ISNUMBER(I485),EDATE(I485,VLOOKUP(D485,Assumptions!$A$10:$B$16,2,0)),"")))</f>
        <v>46335</v>
      </c>
      <c r="M485" s="14">
        <f>IF(ISNUMBER(L485),L485-Assumptions!$B$5,"")</f>
        <v>313</v>
      </c>
      <c r="N485" s="17">
        <f t="shared" si="42"/>
        <v>0</v>
      </c>
      <c r="O485" s="14">
        <f>IF(COUNTIF(Assumptions!$A$25:$A$27,A485)&gt;0,1,0)</f>
        <v>0</v>
      </c>
      <c r="P485" s="14">
        <f>IF(COUNTIF(Assumptions!$B$25:$B$26,A485)&gt;0,1,0)</f>
        <v>0</v>
      </c>
      <c r="Q485" s="14">
        <f>IF(COUNTIF(Assumptions!$C$25:$C$25,A485)&gt;0,1,0)</f>
        <v>0</v>
      </c>
      <c r="R485" s="17">
        <f t="shared" si="43"/>
        <v>0</v>
      </c>
      <c r="S485" s="15" t="str">
        <f>IFERROR(VLOOKUP(A485,Assumptions!$A$31:$B$33,2,0),"")</f>
        <v/>
      </c>
      <c r="T485" s="15">
        <f t="shared" si="44"/>
        <v>167.83</v>
      </c>
      <c r="U485" s="15">
        <f t="shared" si="45"/>
        <v>43300.140000000007</v>
      </c>
      <c r="V485" s="15">
        <f t="shared" si="46"/>
        <v>43300.140000000007</v>
      </c>
      <c r="W485" s="15">
        <f t="shared" si="47"/>
        <v>0</v>
      </c>
    </row>
    <row r="486" spans="1:23" ht="15" customHeight="1" x14ac:dyDescent="0.2">
      <c r="A486" s="14" t="s">
        <v>2760</v>
      </c>
      <c r="B486" s="14" t="s">
        <v>2761</v>
      </c>
      <c r="C486" s="14" t="s">
        <v>2159</v>
      </c>
      <c r="D486" s="14" t="s">
        <v>46</v>
      </c>
      <c r="E486" s="14" t="s">
        <v>1993</v>
      </c>
      <c r="F486" s="14">
        <v>1983</v>
      </c>
      <c r="G486" s="15">
        <v>395.89</v>
      </c>
      <c r="H486" s="16">
        <v>45982</v>
      </c>
      <c r="I486" s="16">
        <v>46392</v>
      </c>
      <c r="J486" s="16">
        <v>46665</v>
      </c>
      <c r="K486" s="14" t="s">
        <v>2021</v>
      </c>
      <c r="L486" s="16">
        <f>IF(D486="Packaging","",IF(ISNUMBER(J486),J486,IF(ISNUMBER(I486),EDATE(I486,VLOOKUP(D486,Assumptions!$A$10:$B$16,2,0)),"")))</f>
        <v>46665</v>
      </c>
      <c r="M486" s="14">
        <f>IF(ISNUMBER(L486),L486-Assumptions!$B$5,"")</f>
        <v>643</v>
      </c>
      <c r="N486" s="17">
        <f t="shared" si="42"/>
        <v>0</v>
      </c>
      <c r="O486" s="14">
        <f>IF(COUNTIF(Assumptions!$A$25:$A$27,A486)&gt;0,1,0)</f>
        <v>0</v>
      </c>
      <c r="P486" s="14">
        <f>IF(COUNTIF(Assumptions!$B$25:$B$26,A486)&gt;0,1,0)</f>
        <v>0</v>
      </c>
      <c r="Q486" s="14">
        <f>IF(COUNTIF(Assumptions!$C$25:$C$25,A486)&gt;0,1,0)</f>
        <v>0</v>
      </c>
      <c r="R486" s="17">
        <f t="shared" si="43"/>
        <v>0</v>
      </c>
      <c r="S486" s="15" t="str">
        <f>IFERROR(VLOOKUP(A486,Assumptions!$A$31:$B$33,2,0),"")</f>
        <v/>
      </c>
      <c r="T486" s="15">
        <f t="shared" si="44"/>
        <v>395.89</v>
      </c>
      <c r="U486" s="15">
        <f t="shared" si="45"/>
        <v>785049.87</v>
      </c>
      <c r="V486" s="15">
        <f t="shared" si="46"/>
        <v>785049.87</v>
      </c>
      <c r="W486" s="15">
        <f t="shared" si="47"/>
        <v>0</v>
      </c>
    </row>
    <row r="487" spans="1:23" ht="15" customHeight="1" x14ac:dyDescent="0.2">
      <c r="A487" s="14" t="s">
        <v>2762</v>
      </c>
      <c r="B487" s="14" t="s">
        <v>2763</v>
      </c>
      <c r="C487" s="14" t="s">
        <v>2076</v>
      </c>
      <c r="D487" s="14" t="s">
        <v>45</v>
      </c>
      <c r="E487" s="14" t="s">
        <v>1993</v>
      </c>
      <c r="F487" s="14">
        <v>3429</v>
      </c>
      <c r="G487" s="15">
        <v>194.47</v>
      </c>
      <c r="H487" s="16">
        <v>46009</v>
      </c>
      <c r="I487" s="16">
        <v>46689</v>
      </c>
      <c r="J487" s="16"/>
      <c r="K487" s="14" t="s">
        <v>1994</v>
      </c>
      <c r="L487" s="16">
        <f>IF(D487="Packaging","",IF(ISNUMBER(J487),J487,IF(ISNUMBER(I487),EDATE(I487,VLOOKUP(D487,Assumptions!$A$10:$B$16,2,0)),"")))</f>
        <v>46872</v>
      </c>
      <c r="M487" s="14">
        <f>IF(ISNUMBER(L487),L487-Assumptions!$B$5,"")</f>
        <v>850</v>
      </c>
      <c r="N487" s="17">
        <f t="shared" si="42"/>
        <v>0</v>
      </c>
      <c r="O487" s="14">
        <f>IF(COUNTIF(Assumptions!$A$25:$A$27,A487)&gt;0,1,0)</f>
        <v>0</v>
      </c>
      <c r="P487" s="14">
        <f>IF(COUNTIF(Assumptions!$B$25:$B$26,A487)&gt;0,1,0)</f>
        <v>0</v>
      </c>
      <c r="Q487" s="14">
        <f>IF(COUNTIF(Assumptions!$C$25:$C$25,A487)&gt;0,1,0)</f>
        <v>0</v>
      </c>
      <c r="R487" s="17">
        <f t="shared" si="43"/>
        <v>0</v>
      </c>
      <c r="S487" s="15" t="str">
        <f>IFERROR(VLOOKUP(A487,Assumptions!$A$31:$B$33,2,0),"")</f>
        <v/>
      </c>
      <c r="T487" s="15">
        <f t="shared" si="44"/>
        <v>194.47</v>
      </c>
      <c r="U487" s="15">
        <f t="shared" si="45"/>
        <v>666837.63</v>
      </c>
      <c r="V487" s="15">
        <f t="shared" si="46"/>
        <v>666837.63</v>
      </c>
      <c r="W487" s="15">
        <f t="shared" si="47"/>
        <v>0</v>
      </c>
    </row>
    <row r="488" spans="1:23" ht="15" customHeight="1" x14ac:dyDescent="0.2">
      <c r="A488" s="14" t="s">
        <v>1337</v>
      </c>
      <c r="B488" s="14" t="s">
        <v>1336</v>
      </c>
      <c r="C488" s="14" t="s">
        <v>2119</v>
      </c>
      <c r="D488" s="14" t="s">
        <v>39</v>
      </c>
      <c r="E488" s="14" t="s">
        <v>1993</v>
      </c>
      <c r="F488" s="14">
        <v>3124</v>
      </c>
      <c r="G488" s="15">
        <v>107.97</v>
      </c>
      <c r="H488" s="16">
        <v>45711</v>
      </c>
      <c r="I488" s="16">
        <v>45696</v>
      </c>
      <c r="J488" s="16"/>
      <c r="K488" s="14" t="s">
        <v>1994</v>
      </c>
      <c r="L488" s="16">
        <f>IF(D488="Packaging","",IF(ISNUMBER(J488),J488,IF(ISNUMBER(I488),EDATE(I488,VLOOKUP(D488,Assumptions!$A$10:$B$16,2,0)),"")))</f>
        <v>46791</v>
      </c>
      <c r="M488" s="14">
        <f>IF(ISNUMBER(L488),L488-Assumptions!$B$5,"")</f>
        <v>769</v>
      </c>
      <c r="N488" s="17">
        <f t="shared" si="42"/>
        <v>0</v>
      </c>
      <c r="O488" s="14">
        <f>IF(COUNTIF(Assumptions!$A$25:$A$27,A488)&gt;0,1,0)</f>
        <v>0</v>
      </c>
      <c r="P488" s="14">
        <f>IF(COUNTIF(Assumptions!$B$25:$B$26,A488)&gt;0,1,0)</f>
        <v>0</v>
      </c>
      <c r="Q488" s="14">
        <f>IF(COUNTIF(Assumptions!$C$25:$C$25,A488)&gt;0,1,0)</f>
        <v>0</v>
      </c>
      <c r="R488" s="17">
        <f t="shared" si="43"/>
        <v>0</v>
      </c>
      <c r="S488" s="15" t="str">
        <f>IFERROR(VLOOKUP(A488,Assumptions!$A$31:$B$33,2,0),"")</f>
        <v/>
      </c>
      <c r="T488" s="15">
        <f t="shared" si="44"/>
        <v>107.97</v>
      </c>
      <c r="U488" s="15">
        <f t="shared" si="45"/>
        <v>337298.27999999997</v>
      </c>
      <c r="V488" s="15">
        <f t="shared" si="46"/>
        <v>337298.27999999997</v>
      </c>
      <c r="W488" s="15">
        <f t="shared" si="47"/>
        <v>0</v>
      </c>
    </row>
    <row r="489" spans="1:23" ht="15" customHeight="1" x14ac:dyDescent="0.2">
      <c r="A489" s="14" t="s">
        <v>2764</v>
      </c>
      <c r="B489" s="14" t="s">
        <v>2765</v>
      </c>
      <c r="C489" s="14" t="s">
        <v>2033</v>
      </c>
      <c r="D489" s="14" t="s">
        <v>47</v>
      </c>
      <c r="E489" s="14" t="s">
        <v>1993</v>
      </c>
      <c r="F489" s="14">
        <v>1260</v>
      </c>
      <c r="G489" s="15">
        <v>376.06</v>
      </c>
      <c r="H489" s="16">
        <v>45583</v>
      </c>
      <c r="I489" s="16">
        <v>45530</v>
      </c>
      <c r="J489" s="16"/>
      <c r="K489" s="14" t="s">
        <v>1994</v>
      </c>
      <c r="L489" s="16" t="str">
        <f>IF(D489="Packaging","",IF(ISNUMBER(J489),J489,IF(ISNUMBER(I489),EDATE(I489,VLOOKUP(D489,Assumptions!$A$10:$B$16,2,0)),"")))</f>
        <v/>
      </c>
      <c r="M489" s="14" t="str">
        <f>IF(ISNUMBER(L489),L489-Assumptions!$B$5,"")</f>
        <v/>
      </c>
      <c r="N489" s="17">
        <f t="shared" si="42"/>
        <v>0</v>
      </c>
      <c r="O489" s="14">
        <f>IF(COUNTIF(Assumptions!$A$25:$A$27,A489)&gt;0,1,0)</f>
        <v>0</v>
      </c>
      <c r="P489" s="14">
        <f>IF(COUNTIF(Assumptions!$B$25:$B$26,A489)&gt;0,1,0)</f>
        <v>0</v>
      </c>
      <c r="Q489" s="14">
        <f>IF(COUNTIF(Assumptions!$C$25:$C$25,A489)&gt;0,1,0)</f>
        <v>0</v>
      </c>
      <c r="R489" s="17">
        <f t="shared" si="43"/>
        <v>0</v>
      </c>
      <c r="S489" s="15" t="str">
        <f>IFERROR(VLOOKUP(A489,Assumptions!$A$31:$B$33,2,0),"")</f>
        <v/>
      </c>
      <c r="T489" s="15">
        <f t="shared" si="44"/>
        <v>376.06</v>
      </c>
      <c r="U489" s="15">
        <f t="shared" si="45"/>
        <v>473835.6</v>
      </c>
      <c r="V489" s="15">
        <f t="shared" si="46"/>
        <v>473835.6</v>
      </c>
      <c r="W489" s="15">
        <f t="shared" si="47"/>
        <v>0</v>
      </c>
    </row>
    <row r="490" spans="1:23" ht="15" customHeight="1" x14ac:dyDescent="0.2">
      <c r="A490" s="14" t="s">
        <v>646</v>
      </c>
      <c r="B490" s="14" t="s">
        <v>645</v>
      </c>
      <c r="C490" s="14" t="s">
        <v>1435</v>
      </c>
      <c r="D490" s="14" t="s">
        <v>36</v>
      </c>
      <c r="E490" s="14" t="s">
        <v>1993</v>
      </c>
      <c r="F490" s="14">
        <v>2550</v>
      </c>
      <c r="G490" s="15">
        <v>362.08</v>
      </c>
      <c r="H490" s="16">
        <v>45583</v>
      </c>
      <c r="I490" s="16">
        <v>45540</v>
      </c>
      <c r="J490" s="16"/>
      <c r="K490" s="14" t="s">
        <v>2052</v>
      </c>
      <c r="L490" s="16">
        <f>IF(D490="Packaging","",IF(ISNUMBER(J490),J490,IF(ISNUMBER(I490),EDATE(I490,VLOOKUP(D490,Assumptions!$A$10:$B$16,2,0)),"")))</f>
        <v>46270</v>
      </c>
      <c r="M490" s="14">
        <f>IF(ISNUMBER(L490),L490-Assumptions!$B$5,"")</f>
        <v>248</v>
      </c>
      <c r="N490" s="17">
        <f t="shared" si="42"/>
        <v>0</v>
      </c>
      <c r="O490" s="14">
        <f>IF(COUNTIF(Assumptions!$A$25:$A$27,A490)&gt;0,1,0)</f>
        <v>0</v>
      </c>
      <c r="P490" s="14">
        <f>IF(COUNTIF(Assumptions!$B$25:$B$26,A490)&gt;0,1,0)</f>
        <v>0</v>
      </c>
      <c r="Q490" s="14">
        <f>IF(COUNTIF(Assumptions!$C$25:$C$25,A490)&gt;0,1,0)</f>
        <v>0</v>
      </c>
      <c r="R490" s="17">
        <f t="shared" si="43"/>
        <v>0</v>
      </c>
      <c r="S490" s="15" t="str">
        <f>IFERROR(VLOOKUP(A490,Assumptions!$A$31:$B$33,2,0),"")</f>
        <v/>
      </c>
      <c r="T490" s="15">
        <f t="shared" si="44"/>
        <v>362.08</v>
      </c>
      <c r="U490" s="15">
        <f t="shared" si="45"/>
        <v>923304</v>
      </c>
      <c r="V490" s="15">
        <f t="shared" si="46"/>
        <v>923304</v>
      </c>
      <c r="W490" s="15">
        <f t="shared" si="47"/>
        <v>0</v>
      </c>
    </row>
    <row r="491" spans="1:23" ht="15" customHeight="1" x14ac:dyDescent="0.2">
      <c r="A491" s="14" t="s">
        <v>2766</v>
      </c>
      <c r="B491" s="14" t="s">
        <v>2767</v>
      </c>
      <c r="C491" s="14" t="s">
        <v>2000</v>
      </c>
      <c r="D491" s="14" t="s">
        <v>45</v>
      </c>
      <c r="E491" s="14" t="s">
        <v>1988</v>
      </c>
      <c r="F491" s="14">
        <v>4223</v>
      </c>
      <c r="G491" s="15">
        <v>204.79</v>
      </c>
      <c r="H491" s="16">
        <v>46001</v>
      </c>
      <c r="I491" s="16">
        <v>46555</v>
      </c>
      <c r="J491" s="16">
        <v>46738</v>
      </c>
      <c r="K491" s="14" t="s">
        <v>2052</v>
      </c>
      <c r="L491" s="16">
        <f>IF(D491="Packaging","",IF(ISNUMBER(J491),J491,IF(ISNUMBER(I491),EDATE(I491,VLOOKUP(D491,Assumptions!$A$10:$B$16,2,0)),"")))</f>
        <v>46738</v>
      </c>
      <c r="M491" s="14">
        <f>IF(ISNUMBER(L491),L491-Assumptions!$B$5,"")</f>
        <v>716</v>
      </c>
      <c r="N491" s="17">
        <f t="shared" si="42"/>
        <v>0</v>
      </c>
      <c r="O491" s="14">
        <f>IF(COUNTIF(Assumptions!$A$25:$A$27,A491)&gt;0,1,0)</f>
        <v>0</v>
      </c>
      <c r="P491" s="14">
        <f>IF(COUNTIF(Assumptions!$B$25:$B$26,A491)&gt;0,1,0)</f>
        <v>0</v>
      </c>
      <c r="Q491" s="14">
        <f>IF(COUNTIF(Assumptions!$C$25:$C$25,A491)&gt;0,1,0)</f>
        <v>0</v>
      </c>
      <c r="R491" s="17">
        <f t="shared" si="43"/>
        <v>0</v>
      </c>
      <c r="S491" s="15" t="str">
        <f>IFERROR(VLOOKUP(A491,Assumptions!$A$31:$B$33,2,0),"")</f>
        <v/>
      </c>
      <c r="T491" s="15">
        <f t="shared" si="44"/>
        <v>204.79</v>
      </c>
      <c r="U491" s="15">
        <f t="shared" si="45"/>
        <v>864828.16999999993</v>
      </c>
      <c r="V491" s="15">
        <f t="shared" si="46"/>
        <v>864828.16999999993</v>
      </c>
      <c r="W491" s="15">
        <f t="shared" si="47"/>
        <v>0</v>
      </c>
    </row>
    <row r="492" spans="1:23" ht="15" customHeight="1" x14ac:dyDescent="0.2">
      <c r="A492" s="14" t="s">
        <v>1353</v>
      </c>
      <c r="B492" s="14" t="s">
        <v>1352</v>
      </c>
      <c r="C492" s="14" t="s">
        <v>2043</v>
      </c>
      <c r="D492" s="14" t="s">
        <v>39</v>
      </c>
      <c r="E492" s="14" t="s">
        <v>2014</v>
      </c>
      <c r="F492" s="14">
        <v>2640</v>
      </c>
      <c r="G492" s="15">
        <v>385.21</v>
      </c>
      <c r="H492" s="16">
        <v>45797</v>
      </c>
      <c r="I492" s="16">
        <v>45707</v>
      </c>
      <c r="J492" s="16">
        <v>46802</v>
      </c>
      <c r="K492" s="14" t="s">
        <v>1989</v>
      </c>
      <c r="L492" s="16">
        <f>IF(D492="Packaging","",IF(ISNUMBER(J492),J492,IF(ISNUMBER(I492),EDATE(I492,VLOOKUP(D492,Assumptions!$A$10:$B$16,2,0)),"")))</f>
        <v>46802</v>
      </c>
      <c r="M492" s="14">
        <f>IF(ISNUMBER(L492),L492-Assumptions!$B$5,"")</f>
        <v>780</v>
      </c>
      <c r="N492" s="17">
        <f t="shared" si="42"/>
        <v>0</v>
      </c>
      <c r="O492" s="14">
        <f>IF(COUNTIF(Assumptions!$A$25:$A$27,A492)&gt;0,1,0)</f>
        <v>0</v>
      </c>
      <c r="P492" s="14">
        <f>IF(COUNTIF(Assumptions!$B$25:$B$26,A492)&gt;0,1,0)</f>
        <v>0</v>
      </c>
      <c r="Q492" s="14">
        <f>IF(COUNTIF(Assumptions!$C$25:$C$25,A492)&gt;0,1,0)</f>
        <v>0</v>
      </c>
      <c r="R492" s="17">
        <f t="shared" si="43"/>
        <v>0</v>
      </c>
      <c r="S492" s="15" t="str">
        <f>IFERROR(VLOOKUP(A492,Assumptions!$A$31:$B$33,2,0),"")</f>
        <v/>
      </c>
      <c r="T492" s="15">
        <f t="shared" si="44"/>
        <v>385.21</v>
      </c>
      <c r="U492" s="15">
        <f t="shared" si="45"/>
        <v>1016954.3999999999</v>
      </c>
      <c r="V492" s="15">
        <f t="shared" si="46"/>
        <v>1016954.3999999999</v>
      </c>
      <c r="W492" s="15">
        <f t="shared" si="47"/>
        <v>0</v>
      </c>
    </row>
    <row r="493" spans="1:23" ht="15" customHeight="1" x14ac:dyDescent="0.2">
      <c r="A493" s="14" t="s">
        <v>2768</v>
      </c>
      <c r="B493" s="14" t="s">
        <v>2769</v>
      </c>
      <c r="C493" s="14" t="s">
        <v>2159</v>
      </c>
      <c r="D493" s="14" t="s">
        <v>46</v>
      </c>
      <c r="E493" s="14" t="s">
        <v>2014</v>
      </c>
      <c r="F493" s="14">
        <v>2078</v>
      </c>
      <c r="G493" s="15">
        <v>45.33</v>
      </c>
      <c r="H493" s="16">
        <v>45991</v>
      </c>
      <c r="I493" s="16">
        <v>46586</v>
      </c>
      <c r="J493" s="16"/>
      <c r="K493" s="14" t="s">
        <v>2030</v>
      </c>
      <c r="L493" s="16">
        <f>IF(D493="Packaging","",IF(ISNUMBER(J493),J493,IF(ISNUMBER(I493),EDATE(I493,VLOOKUP(D493,Assumptions!$A$10:$B$16,2,0)),"")))</f>
        <v>46861</v>
      </c>
      <c r="M493" s="14">
        <f>IF(ISNUMBER(L493),L493-Assumptions!$B$5,"")</f>
        <v>839</v>
      </c>
      <c r="N493" s="17">
        <f t="shared" si="42"/>
        <v>0</v>
      </c>
      <c r="O493" s="14">
        <f>IF(COUNTIF(Assumptions!$A$25:$A$27,A493)&gt;0,1,0)</f>
        <v>0</v>
      </c>
      <c r="P493" s="14">
        <f>IF(COUNTIF(Assumptions!$B$25:$B$26,A493)&gt;0,1,0)</f>
        <v>0</v>
      </c>
      <c r="Q493" s="14">
        <f>IF(COUNTIF(Assumptions!$C$25:$C$25,A493)&gt;0,1,0)</f>
        <v>0</v>
      </c>
      <c r="R493" s="17">
        <f t="shared" si="43"/>
        <v>0</v>
      </c>
      <c r="S493" s="15" t="str">
        <f>IFERROR(VLOOKUP(A493,Assumptions!$A$31:$B$33,2,0),"")</f>
        <v/>
      </c>
      <c r="T493" s="15">
        <f t="shared" si="44"/>
        <v>45.33</v>
      </c>
      <c r="U493" s="15">
        <f t="shared" si="45"/>
        <v>94195.739999999991</v>
      </c>
      <c r="V493" s="15">
        <f t="shared" si="46"/>
        <v>94195.739999999991</v>
      </c>
      <c r="W493" s="15">
        <f t="shared" si="47"/>
        <v>0</v>
      </c>
    </row>
    <row r="494" spans="1:23" ht="15" customHeight="1" x14ac:dyDescent="0.2">
      <c r="A494" s="14" t="s">
        <v>2770</v>
      </c>
      <c r="B494" s="14" t="s">
        <v>2771</v>
      </c>
      <c r="C494" s="14" t="s">
        <v>2007</v>
      </c>
      <c r="D494" s="14" t="s">
        <v>47</v>
      </c>
      <c r="E494" s="14" t="s">
        <v>1993</v>
      </c>
      <c r="F494" s="14">
        <v>2432</v>
      </c>
      <c r="G494" s="15">
        <v>241.84</v>
      </c>
      <c r="H494" s="16">
        <v>45741</v>
      </c>
      <c r="I494" s="16">
        <v>45699</v>
      </c>
      <c r="J494" s="16"/>
      <c r="K494" s="14" t="s">
        <v>2004</v>
      </c>
      <c r="L494" s="16" t="str">
        <f>IF(D494="Packaging","",IF(ISNUMBER(J494),J494,IF(ISNUMBER(I494),EDATE(I494,VLOOKUP(D494,Assumptions!$A$10:$B$16,2,0)),"")))</f>
        <v/>
      </c>
      <c r="M494" s="14" t="str">
        <f>IF(ISNUMBER(L494),L494-Assumptions!$B$5,"")</f>
        <v/>
      </c>
      <c r="N494" s="17">
        <f t="shared" si="42"/>
        <v>0</v>
      </c>
      <c r="O494" s="14">
        <f>IF(COUNTIF(Assumptions!$A$25:$A$27,A494)&gt;0,1,0)</f>
        <v>0</v>
      </c>
      <c r="P494" s="14">
        <f>IF(COUNTIF(Assumptions!$B$25:$B$26,A494)&gt;0,1,0)</f>
        <v>0</v>
      </c>
      <c r="Q494" s="14">
        <f>IF(COUNTIF(Assumptions!$C$25:$C$25,A494)&gt;0,1,0)</f>
        <v>0</v>
      </c>
      <c r="R494" s="17">
        <f t="shared" si="43"/>
        <v>0</v>
      </c>
      <c r="S494" s="15" t="str">
        <f>IFERROR(VLOOKUP(A494,Assumptions!$A$31:$B$33,2,0),"")</f>
        <v/>
      </c>
      <c r="T494" s="15">
        <f t="shared" si="44"/>
        <v>241.84</v>
      </c>
      <c r="U494" s="15">
        <f t="shared" si="45"/>
        <v>588154.88</v>
      </c>
      <c r="V494" s="15">
        <f t="shared" si="46"/>
        <v>588154.88</v>
      </c>
      <c r="W494" s="15">
        <f t="shared" si="47"/>
        <v>0</v>
      </c>
    </row>
    <row r="495" spans="1:23" ht="15" customHeight="1" x14ac:dyDescent="0.2">
      <c r="A495" s="14" t="s">
        <v>2772</v>
      </c>
      <c r="B495" s="14" t="s">
        <v>2773</v>
      </c>
      <c r="C495" s="14" t="s">
        <v>2159</v>
      </c>
      <c r="D495" s="14" t="s">
        <v>46</v>
      </c>
      <c r="E495" s="14" t="s">
        <v>2014</v>
      </c>
      <c r="F495" s="14">
        <v>1360</v>
      </c>
      <c r="G495" s="15">
        <v>256.79000000000002</v>
      </c>
      <c r="H495" s="16">
        <v>46016</v>
      </c>
      <c r="I495" s="16">
        <v>46144</v>
      </c>
      <c r="J495" s="16"/>
      <c r="K495" s="14" t="s">
        <v>1994</v>
      </c>
      <c r="L495" s="16">
        <f>IF(D495="Packaging","",IF(ISNUMBER(J495),J495,IF(ISNUMBER(I495),EDATE(I495,VLOOKUP(D495,Assumptions!$A$10:$B$16,2,0)),"")))</f>
        <v>46420</v>
      </c>
      <c r="M495" s="14">
        <f>IF(ISNUMBER(L495),L495-Assumptions!$B$5,"")</f>
        <v>398</v>
      </c>
      <c r="N495" s="17">
        <f t="shared" si="42"/>
        <v>0</v>
      </c>
      <c r="O495" s="14">
        <f>IF(COUNTIF(Assumptions!$A$25:$A$27,A495)&gt;0,1,0)</f>
        <v>0</v>
      </c>
      <c r="P495" s="14">
        <f>IF(COUNTIF(Assumptions!$B$25:$B$26,A495)&gt;0,1,0)</f>
        <v>0</v>
      </c>
      <c r="Q495" s="14">
        <f>IF(COUNTIF(Assumptions!$C$25:$C$25,A495)&gt;0,1,0)</f>
        <v>0</v>
      </c>
      <c r="R495" s="17">
        <f t="shared" si="43"/>
        <v>0</v>
      </c>
      <c r="S495" s="15" t="str">
        <f>IFERROR(VLOOKUP(A495,Assumptions!$A$31:$B$33,2,0),"")</f>
        <v/>
      </c>
      <c r="T495" s="15">
        <f t="shared" si="44"/>
        <v>256.79000000000002</v>
      </c>
      <c r="U495" s="15">
        <f t="shared" si="45"/>
        <v>349234.4</v>
      </c>
      <c r="V495" s="15">
        <f t="shared" si="46"/>
        <v>349234.4</v>
      </c>
      <c r="W495" s="15">
        <f t="shared" si="47"/>
        <v>0</v>
      </c>
    </row>
    <row r="496" spans="1:23" ht="15" customHeight="1" x14ac:dyDescent="0.2">
      <c r="A496" s="14" t="s">
        <v>2774</v>
      </c>
      <c r="B496" s="14" t="s">
        <v>2775</v>
      </c>
      <c r="C496" s="14" t="s">
        <v>2027</v>
      </c>
      <c r="D496" s="14" t="s">
        <v>44</v>
      </c>
      <c r="E496" s="14" t="s">
        <v>2037</v>
      </c>
      <c r="F496" s="14">
        <v>4079</v>
      </c>
      <c r="G496" s="15">
        <v>410.48</v>
      </c>
      <c r="H496" s="16">
        <v>45996</v>
      </c>
      <c r="I496" s="16">
        <v>45989</v>
      </c>
      <c r="J496" s="16">
        <v>46535</v>
      </c>
      <c r="K496" s="14" t="s">
        <v>1994</v>
      </c>
      <c r="L496" s="16">
        <f>IF(D496="Packaging","",IF(ISNUMBER(J496),J496,IF(ISNUMBER(I496),EDATE(I496,VLOOKUP(D496,Assumptions!$A$10:$B$16,2,0)),"")))</f>
        <v>46535</v>
      </c>
      <c r="M496" s="14">
        <f>IF(ISNUMBER(L496),L496-Assumptions!$B$5,"")</f>
        <v>513</v>
      </c>
      <c r="N496" s="17">
        <f t="shared" si="42"/>
        <v>0</v>
      </c>
      <c r="O496" s="14">
        <f>IF(COUNTIF(Assumptions!$A$25:$A$27,A496)&gt;0,1,0)</f>
        <v>0</v>
      </c>
      <c r="P496" s="14">
        <f>IF(COUNTIF(Assumptions!$B$25:$B$26,A496)&gt;0,1,0)</f>
        <v>0</v>
      </c>
      <c r="Q496" s="14">
        <f>IF(COUNTIF(Assumptions!$C$25:$C$25,A496)&gt;0,1,0)</f>
        <v>0</v>
      </c>
      <c r="R496" s="17">
        <f t="shared" si="43"/>
        <v>0</v>
      </c>
      <c r="S496" s="15" t="str">
        <f>IFERROR(VLOOKUP(A496,Assumptions!$A$31:$B$33,2,0),"")</f>
        <v/>
      </c>
      <c r="T496" s="15">
        <f t="shared" si="44"/>
        <v>410.48</v>
      </c>
      <c r="U496" s="15">
        <f t="shared" si="45"/>
        <v>1674347.9200000002</v>
      </c>
      <c r="V496" s="15">
        <f t="shared" si="46"/>
        <v>1674347.9200000002</v>
      </c>
      <c r="W496" s="15">
        <f t="shared" si="47"/>
        <v>0</v>
      </c>
    </row>
    <row r="497" spans="1:23" ht="15" customHeight="1" x14ac:dyDescent="0.2">
      <c r="A497" s="14" t="s">
        <v>1356</v>
      </c>
      <c r="B497" s="14" t="s">
        <v>1355</v>
      </c>
      <c r="C497" s="14" t="s">
        <v>2022</v>
      </c>
      <c r="D497" s="14" t="s">
        <v>39</v>
      </c>
      <c r="E497" s="14" t="s">
        <v>2037</v>
      </c>
      <c r="F497" s="14">
        <v>3295</v>
      </c>
      <c r="G497" s="15">
        <v>107.92</v>
      </c>
      <c r="H497" s="16">
        <v>45425</v>
      </c>
      <c r="I497" s="16">
        <v>45392</v>
      </c>
      <c r="J497" s="16">
        <v>46487</v>
      </c>
      <c r="K497" s="14" t="s">
        <v>2015</v>
      </c>
      <c r="L497" s="16">
        <f>IF(D497="Packaging","",IF(ISNUMBER(J497),J497,IF(ISNUMBER(I497),EDATE(I497,VLOOKUP(D497,Assumptions!$A$10:$B$16,2,0)),"")))</f>
        <v>46487</v>
      </c>
      <c r="M497" s="14">
        <f>IF(ISNUMBER(L497),L497-Assumptions!$B$5,"")</f>
        <v>465</v>
      </c>
      <c r="N497" s="17">
        <f t="shared" si="42"/>
        <v>0</v>
      </c>
      <c r="O497" s="14">
        <f>IF(COUNTIF(Assumptions!$A$25:$A$27,A497)&gt;0,1,0)</f>
        <v>0</v>
      </c>
      <c r="P497" s="14">
        <f>IF(COUNTIF(Assumptions!$B$25:$B$26,A497)&gt;0,1,0)</f>
        <v>0</v>
      </c>
      <c r="Q497" s="14">
        <f>IF(COUNTIF(Assumptions!$C$25:$C$25,A497)&gt;0,1,0)</f>
        <v>0</v>
      </c>
      <c r="R497" s="17">
        <f t="shared" si="43"/>
        <v>0</v>
      </c>
      <c r="S497" s="15" t="str">
        <f>IFERROR(VLOOKUP(A497,Assumptions!$A$31:$B$33,2,0),"")</f>
        <v/>
      </c>
      <c r="T497" s="15">
        <f t="shared" si="44"/>
        <v>107.92</v>
      </c>
      <c r="U497" s="15">
        <f t="shared" si="45"/>
        <v>355596.4</v>
      </c>
      <c r="V497" s="15">
        <f t="shared" si="46"/>
        <v>355596.4</v>
      </c>
      <c r="W497" s="15">
        <f t="shared" si="47"/>
        <v>0</v>
      </c>
    </row>
    <row r="498" spans="1:23" ht="15" customHeight="1" x14ac:dyDescent="0.2">
      <c r="A498" s="14" t="s">
        <v>2776</v>
      </c>
      <c r="B498" s="14" t="s">
        <v>2777</v>
      </c>
      <c r="C498" s="14" t="s">
        <v>2049</v>
      </c>
      <c r="D498" s="14" t="s">
        <v>42</v>
      </c>
      <c r="E498" s="14" t="s">
        <v>2037</v>
      </c>
      <c r="F498" s="14">
        <v>2148</v>
      </c>
      <c r="G498" s="15">
        <v>414.26</v>
      </c>
      <c r="H498" s="16">
        <v>45624</v>
      </c>
      <c r="I498" s="16">
        <v>45543</v>
      </c>
      <c r="J498" s="16"/>
      <c r="K498" s="14" t="s">
        <v>2004</v>
      </c>
      <c r="L498" s="16">
        <f>IF(D498="Packaging","",IF(ISNUMBER(J498),J498,IF(ISNUMBER(I498),EDATE(I498,VLOOKUP(D498,Assumptions!$A$10:$B$16,2,0)),"")))</f>
        <v>45908</v>
      </c>
      <c r="M498" s="14">
        <f>IF(ISNUMBER(L498),L498-Assumptions!$B$5,"")</f>
        <v>-114</v>
      </c>
      <c r="N498" s="17">
        <f t="shared" si="42"/>
        <v>1</v>
      </c>
      <c r="O498" s="14">
        <f>IF(COUNTIF(Assumptions!$A$25:$A$27,A498)&gt;0,1,0)</f>
        <v>0</v>
      </c>
      <c r="P498" s="14">
        <f>IF(COUNTIF(Assumptions!$B$25:$B$26,A498)&gt;0,1,0)</f>
        <v>0</v>
      </c>
      <c r="Q498" s="14">
        <f>IF(COUNTIF(Assumptions!$C$25:$C$25,A498)&gt;0,1,0)</f>
        <v>0</v>
      </c>
      <c r="R498" s="17">
        <f t="shared" si="43"/>
        <v>1</v>
      </c>
      <c r="S498" s="15" t="str">
        <f>IFERROR(VLOOKUP(A498,Assumptions!$A$31:$B$33,2,0),"")</f>
        <v/>
      </c>
      <c r="T498" s="15">
        <f t="shared" si="44"/>
        <v>414.26</v>
      </c>
      <c r="U498" s="15">
        <f t="shared" si="45"/>
        <v>889830.48</v>
      </c>
      <c r="V498" s="15">
        <f t="shared" si="46"/>
        <v>0</v>
      </c>
      <c r="W498" s="15">
        <f t="shared" si="47"/>
        <v>889830.48</v>
      </c>
    </row>
    <row r="499" spans="1:23" ht="15" customHeight="1" x14ac:dyDescent="0.2">
      <c r="A499" s="14" t="s">
        <v>2778</v>
      </c>
      <c r="B499" s="14" t="s">
        <v>2779</v>
      </c>
      <c r="C499" s="14" t="s">
        <v>2042</v>
      </c>
      <c r="D499" s="14" t="s">
        <v>47</v>
      </c>
      <c r="E499" s="14" t="s">
        <v>1988</v>
      </c>
      <c r="F499" s="14">
        <v>3542</v>
      </c>
      <c r="G499" s="15">
        <v>141.4</v>
      </c>
      <c r="H499" s="16">
        <v>45491</v>
      </c>
      <c r="I499" s="16">
        <v>45437</v>
      </c>
      <c r="J499" s="16"/>
      <c r="K499" s="14" t="s">
        <v>2052</v>
      </c>
      <c r="L499" s="16" t="str">
        <f>IF(D499="Packaging","",IF(ISNUMBER(J499),J499,IF(ISNUMBER(I499),EDATE(I499,VLOOKUP(D499,Assumptions!$A$10:$B$16,2,0)),"")))</f>
        <v/>
      </c>
      <c r="M499" s="14" t="str">
        <f>IF(ISNUMBER(L499),L499-Assumptions!$B$5,"")</f>
        <v/>
      </c>
      <c r="N499" s="17">
        <f t="shared" si="42"/>
        <v>0</v>
      </c>
      <c r="O499" s="14">
        <f>IF(COUNTIF(Assumptions!$A$25:$A$27,A499)&gt;0,1,0)</f>
        <v>0</v>
      </c>
      <c r="P499" s="14">
        <f>IF(COUNTIF(Assumptions!$B$25:$B$26,A499)&gt;0,1,0)</f>
        <v>0</v>
      </c>
      <c r="Q499" s="14">
        <f>IF(COUNTIF(Assumptions!$C$25:$C$25,A499)&gt;0,1,0)</f>
        <v>0</v>
      </c>
      <c r="R499" s="17">
        <f t="shared" si="43"/>
        <v>0</v>
      </c>
      <c r="S499" s="15" t="str">
        <f>IFERROR(VLOOKUP(A499,Assumptions!$A$31:$B$33,2,0),"")</f>
        <v/>
      </c>
      <c r="T499" s="15">
        <f t="shared" si="44"/>
        <v>141.4</v>
      </c>
      <c r="U499" s="15">
        <f t="shared" si="45"/>
        <v>500838.80000000005</v>
      </c>
      <c r="V499" s="15">
        <f t="shared" si="46"/>
        <v>500838.80000000005</v>
      </c>
      <c r="W499" s="15">
        <f t="shared" si="47"/>
        <v>0</v>
      </c>
    </row>
    <row r="500" spans="1:23" ht="15" customHeight="1" x14ac:dyDescent="0.2">
      <c r="A500" s="14" t="s">
        <v>2780</v>
      </c>
      <c r="B500" s="14" t="s">
        <v>2781</v>
      </c>
      <c r="C500" s="14" t="s">
        <v>2107</v>
      </c>
      <c r="D500" s="14" t="s">
        <v>42</v>
      </c>
      <c r="E500" s="14" t="s">
        <v>1988</v>
      </c>
      <c r="F500" s="14">
        <v>3711</v>
      </c>
      <c r="G500" s="15">
        <v>57.34</v>
      </c>
      <c r="H500" s="16">
        <v>45999</v>
      </c>
      <c r="I500" s="16">
        <v>46199</v>
      </c>
      <c r="J500" s="16">
        <v>46564</v>
      </c>
      <c r="K500" s="14" t="s">
        <v>2015</v>
      </c>
      <c r="L500" s="16">
        <f>IF(D500="Packaging","",IF(ISNUMBER(J500),J500,IF(ISNUMBER(I500),EDATE(I500,VLOOKUP(D500,Assumptions!$A$10:$B$16,2,0)),"")))</f>
        <v>46564</v>
      </c>
      <c r="M500" s="14">
        <f>IF(ISNUMBER(L500),L500-Assumptions!$B$5,"")</f>
        <v>542</v>
      </c>
      <c r="N500" s="17">
        <f t="shared" si="42"/>
        <v>0</v>
      </c>
      <c r="O500" s="14">
        <f>IF(COUNTIF(Assumptions!$A$25:$A$27,A500)&gt;0,1,0)</f>
        <v>0</v>
      </c>
      <c r="P500" s="14">
        <f>IF(COUNTIF(Assumptions!$B$25:$B$26,A500)&gt;0,1,0)</f>
        <v>0</v>
      </c>
      <c r="Q500" s="14">
        <f>IF(COUNTIF(Assumptions!$C$25:$C$25,A500)&gt;0,1,0)</f>
        <v>0</v>
      </c>
      <c r="R500" s="17">
        <f t="shared" si="43"/>
        <v>0</v>
      </c>
      <c r="S500" s="15" t="str">
        <f>IFERROR(VLOOKUP(A500,Assumptions!$A$31:$B$33,2,0),"")</f>
        <v/>
      </c>
      <c r="T500" s="15">
        <f t="shared" si="44"/>
        <v>57.34</v>
      </c>
      <c r="U500" s="15">
        <f t="shared" si="45"/>
        <v>212788.74000000002</v>
      </c>
      <c r="V500" s="15">
        <f t="shared" si="46"/>
        <v>212788.74000000002</v>
      </c>
      <c r="W500" s="15">
        <f t="shared" si="47"/>
        <v>0</v>
      </c>
    </row>
    <row r="501" spans="1:23" ht="15" customHeight="1" x14ac:dyDescent="0.2">
      <c r="A501" s="14" t="s">
        <v>2782</v>
      </c>
      <c r="B501" s="14" t="s">
        <v>2783</v>
      </c>
      <c r="C501" s="14" t="s">
        <v>2033</v>
      </c>
      <c r="D501" s="14" t="s">
        <v>47</v>
      </c>
      <c r="E501" s="14" t="s">
        <v>2037</v>
      </c>
      <c r="F501" s="14">
        <v>2614</v>
      </c>
      <c r="G501" s="15">
        <v>264.45</v>
      </c>
      <c r="H501" s="16">
        <v>45982</v>
      </c>
      <c r="I501" s="16">
        <v>45934</v>
      </c>
      <c r="J501" s="16"/>
      <c r="K501" s="14" t="s">
        <v>1989</v>
      </c>
      <c r="L501" s="16" t="str">
        <f>IF(D501="Packaging","",IF(ISNUMBER(J501),J501,IF(ISNUMBER(I501),EDATE(I501,VLOOKUP(D501,Assumptions!$A$10:$B$16,2,0)),"")))</f>
        <v/>
      </c>
      <c r="M501" s="14" t="str">
        <f>IF(ISNUMBER(L501),L501-Assumptions!$B$5,"")</f>
        <v/>
      </c>
      <c r="N501" s="17">
        <f t="shared" si="42"/>
        <v>0</v>
      </c>
      <c r="O501" s="14">
        <f>IF(COUNTIF(Assumptions!$A$25:$A$27,A501)&gt;0,1,0)</f>
        <v>0</v>
      </c>
      <c r="P501" s="14">
        <f>IF(COUNTIF(Assumptions!$B$25:$B$26,A501)&gt;0,1,0)</f>
        <v>0</v>
      </c>
      <c r="Q501" s="14">
        <f>IF(COUNTIF(Assumptions!$C$25:$C$25,A501)&gt;0,1,0)</f>
        <v>0</v>
      </c>
      <c r="R501" s="17">
        <f t="shared" si="43"/>
        <v>0</v>
      </c>
      <c r="S501" s="15" t="str">
        <f>IFERROR(VLOOKUP(A501,Assumptions!$A$31:$B$33,2,0),"")</f>
        <v/>
      </c>
      <c r="T501" s="15">
        <f t="shared" si="44"/>
        <v>264.45</v>
      </c>
      <c r="U501" s="15">
        <f t="shared" si="45"/>
        <v>691272.29999999993</v>
      </c>
      <c r="V501" s="15">
        <f t="shared" si="46"/>
        <v>691272.29999999993</v>
      </c>
      <c r="W501" s="15">
        <f t="shared" si="47"/>
        <v>0</v>
      </c>
    </row>
    <row r="502" spans="1:23" ht="15" customHeight="1" x14ac:dyDescent="0.2">
      <c r="A502" s="14" t="s">
        <v>2784</v>
      </c>
      <c r="B502" s="14" t="s">
        <v>2785</v>
      </c>
      <c r="C502" s="14" t="s">
        <v>2101</v>
      </c>
      <c r="D502" s="14" t="s">
        <v>46</v>
      </c>
      <c r="E502" s="14" t="s">
        <v>1988</v>
      </c>
      <c r="F502" s="14">
        <v>4662</v>
      </c>
      <c r="G502" s="15">
        <v>200.09</v>
      </c>
      <c r="H502" s="16">
        <v>46008</v>
      </c>
      <c r="I502" s="16">
        <v>46011</v>
      </c>
      <c r="J502" s="16"/>
      <c r="K502" s="14" t="s">
        <v>2015</v>
      </c>
      <c r="L502" s="16">
        <f>IF(D502="Packaging","",IF(ISNUMBER(J502),J502,IF(ISNUMBER(I502),EDATE(I502,VLOOKUP(D502,Assumptions!$A$10:$B$16,2,0)),"")))</f>
        <v>46285</v>
      </c>
      <c r="M502" s="14">
        <f>IF(ISNUMBER(L502),L502-Assumptions!$B$5,"")</f>
        <v>263</v>
      </c>
      <c r="N502" s="17">
        <f t="shared" si="42"/>
        <v>0</v>
      </c>
      <c r="O502" s="14">
        <f>IF(COUNTIF(Assumptions!$A$25:$A$27,A502)&gt;0,1,0)</f>
        <v>0</v>
      </c>
      <c r="P502" s="14">
        <f>IF(COUNTIF(Assumptions!$B$25:$B$26,A502)&gt;0,1,0)</f>
        <v>0</v>
      </c>
      <c r="Q502" s="14">
        <f>IF(COUNTIF(Assumptions!$C$25:$C$25,A502)&gt;0,1,0)</f>
        <v>0</v>
      </c>
      <c r="R502" s="17">
        <f t="shared" si="43"/>
        <v>0</v>
      </c>
      <c r="S502" s="15" t="str">
        <f>IFERROR(VLOOKUP(A502,Assumptions!$A$31:$B$33,2,0),"")</f>
        <v/>
      </c>
      <c r="T502" s="15">
        <f t="shared" si="44"/>
        <v>200.09</v>
      </c>
      <c r="U502" s="15">
        <f t="shared" si="45"/>
        <v>932819.58</v>
      </c>
      <c r="V502" s="15">
        <f t="shared" si="46"/>
        <v>932819.58</v>
      </c>
      <c r="W502" s="15">
        <f t="shared" si="47"/>
        <v>0</v>
      </c>
    </row>
    <row r="503" spans="1:23" ht="15" customHeight="1" x14ac:dyDescent="0.2">
      <c r="A503" s="14" t="s">
        <v>2786</v>
      </c>
      <c r="B503" s="14" t="s">
        <v>2787</v>
      </c>
      <c r="C503" s="14" t="s">
        <v>2076</v>
      </c>
      <c r="D503" s="14" t="s">
        <v>45</v>
      </c>
      <c r="E503" s="14" t="s">
        <v>2014</v>
      </c>
      <c r="F503" s="14">
        <v>4601</v>
      </c>
      <c r="G503" s="15">
        <v>153.30000000000001</v>
      </c>
      <c r="H503" s="16">
        <v>46011</v>
      </c>
      <c r="I503" s="16">
        <v>46685</v>
      </c>
      <c r="J503" s="16">
        <v>46868</v>
      </c>
      <c r="K503" s="14" t="s">
        <v>2015</v>
      </c>
      <c r="L503" s="16">
        <f>IF(D503="Packaging","",IF(ISNUMBER(J503),J503,IF(ISNUMBER(I503),EDATE(I503,VLOOKUP(D503,Assumptions!$A$10:$B$16,2,0)),"")))</f>
        <v>46868</v>
      </c>
      <c r="M503" s="14">
        <f>IF(ISNUMBER(L503),L503-Assumptions!$B$5,"")</f>
        <v>846</v>
      </c>
      <c r="N503" s="17">
        <f t="shared" si="42"/>
        <v>0</v>
      </c>
      <c r="O503" s="14">
        <f>IF(COUNTIF(Assumptions!$A$25:$A$27,A503)&gt;0,1,0)</f>
        <v>0</v>
      </c>
      <c r="P503" s="14">
        <f>IF(COUNTIF(Assumptions!$B$25:$B$26,A503)&gt;0,1,0)</f>
        <v>0</v>
      </c>
      <c r="Q503" s="14">
        <f>IF(COUNTIF(Assumptions!$C$25:$C$25,A503)&gt;0,1,0)</f>
        <v>0</v>
      </c>
      <c r="R503" s="17">
        <f t="shared" si="43"/>
        <v>0</v>
      </c>
      <c r="S503" s="15" t="str">
        <f>IFERROR(VLOOKUP(A503,Assumptions!$A$31:$B$33,2,0),"")</f>
        <v/>
      </c>
      <c r="T503" s="15">
        <f t="shared" si="44"/>
        <v>153.30000000000001</v>
      </c>
      <c r="U503" s="15">
        <f t="shared" si="45"/>
        <v>705333.3</v>
      </c>
      <c r="V503" s="15">
        <f t="shared" si="46"/>
        <v>705333.3</v>
      </c>
      <c r="W503" s="15">
        <f t="shared" si="47"/>
        <v>0</v>
      </c>
    </row>
    <row r="504" spans="1:23" ht="15" customHeight="1" x14ac:dyDescent="0.2">
      <c r="A504" s="14" t="s">
        <v>293</v>
      </c>
      <c r="B504" s="14" t="s">
        <v>292</v>
      </c>
      <c r="C504" s="14" t="s">
        <v>2142</v>
      </c>
      <c r="D504" s="14" t="s">
        <v>44</v>
      </c>
      <c r="E504" s="14" t="s">
        <v>2037</v>
      </c>
      <c r="F504" s="14">
        <v>1314</v>
      </c>
      <c r="G504" s="15">
        <v>89.17</v>
      </c>
      <c r="H504" s="16">
        <v>45878</v>
      </c>
      <c r="I504" s="16">
        <v>45856</v>
      </c>
      <c r="J504" s="16"/>
      <c r="K504" s="14" t="s">
        <v>2030</v>
      </c>
      <c r="L504" s="16">
        <f>IF(D504="Packaging","",IF(ISNUMBER(J504),J504,IF(ISNUMBER(I504),EDATE(I504,VLOOKUP(D504,Assumptions!$A$10:$B$16,2,0)),"")))</f>
        <v>46405</v>
      </c>
      <c r="M504" s="14">
        <f>IF(ISNUMBER(L504),L504-Assumptions!$B$5,"")</f>
        <v>383</v>
      </c>
      <c r="N504" s="17">
        <f t="shared" si="42"/>
        <v>0</v>
      </c>
      <c r="O504" s="14">
        <f>IF(COUNTIF(Assumptions!$A$25:$A$27,A504)&gt;0,1,0)</f>
        <v>0</v>
      </c>
      <c r="P504" s="14">
        <f>IF(COUNTIF(Assumptions!$B$25:$B$26,A504)&gt;0,1,0)</f>
        <v>0</v>
      </c>
      <c r="Q504" s="14">
        <f>IF(COUNTIF(Assumptions!$C$25:$C$25,A504)&gt;0,1,0)</f>
        <v>0</v>
      </c>
      <c r="R504" s="17">
        <f t="shared" si="43"/>
        <v>0</v>
      </c>
      <c r="S504" s="15" t="str">
        <f>IFERROR(VLOOKUP(A504,Assumptions!$A$31:$B$33,2,0),"")</f>
        <v/>
      </c>
      <c r="T504" s="15">
        <f t="shared" si="44"/>
        <v>89.17</v>
      </c>
      <c r="U504" s="15">
        <f t="shared" si="45"/>
        <v>117169.38</v>
      </c>
      <c r="V504" s="15">
        <f t="shared" si="46"/>
        <v>117169.38</v>
      </c>
      <c r="W504" s="15">
        <f t="shared" si="47"/>
        <v>0</v>
      </c>
    </row>
    <row r="505" spans="1:23" ht="15" customHeight="1" x14ac:dyDescent="0.2">
      <c r="A505" s="14" t="s">
        <v>2788</v>
      </c>
      <c r="B505" s="14" t="s">
        <v>2789</v>
      </c>
      <c r="C505" s="14" t="s">
        <v>2107</v>
      </c>
      <c r="D505" s="14" t="s">
        <v>42</v>
      </c>
      <c r="E505" s="14" t="s">
        <v>2037</v>
      </c>
      <c r="F505" s="14">
        <v>2060</v>
      </c>
      <c r="G505" s="15">
        <v>127.14</v>
      </c>
      <c r="H505" s="16">
        <v>45964</v>
      </c>
      <c r="I505" s="16">
        <v>45972</v>
      </c>
      <c r="J505" s="16">
        <v>46337</v>
      </c>
      <c r="K505" s="14" t="s">
        <v>2052</v>
      </c>
      <c r="L505" s="16">
        <f>IF(D505="Packaging","",IF(ISNUMBER(J505),J505,IF(ISNUMBER(I505),EDATE(I505,VLOOKUP(D505,Assumptions!$A$10:$B$16,2,0)),"")))</f>
        <v>46337</v>
      </c>
      <c r="M505" s="14">
        <f>IF(ISNUMBER(L505),L505-Assumptions!$B$5,"")</f>
        <v>315</v>
      </c>
      <c r="N505" s="17">
        <f t="shared" si="42"/>
        <v>0</v>
      </c>
      <c r="O505" s="14">
        <f>IF(COUNTIF(Assumptions!$A$25:$A$27,A505)&gt;0,1,0)</f>
        <v>0</v>
      </c>
      <c r="P505" s="14">
        <f>IF(COUNTIF(Assumptions!$B$25:$B$26,A505)&gt;0,1,0)</f>
        <v>0</v>
      </c>
      <c r="Q505" s="14">
        <f>IF(COUNTIF(Assumptions!$C$25:$C$25,A505)&gt;0,1,0)</f>
        <v>0</v>
      </c>
      <c r="R505" s="17">
        <f t="shared" si="43"/>
        <v>0</v>
      </c>
      <c r="S505" s="15" t="str">
        <f>IFERROR(VLOOKUP(A505,Assumptions!$A$31:$B$33,2,0),"")</f>
        <v/>
      </c>
      <c r="T505" s="15">
        <f t="shared" si="44"/>
        <v>127.14</v>
      </c>
      <c r="U505" s="15">
        <f t="shared" si="45"/>
        <v>261908.4</v>
      </c>
      <c r="V505" s="15">
        <f t="shared" si="46"/>
        <v>261908.4</v>
      </c>
      <c r="W505" s="15">
        <f t="shared" si="47"/>
        <v>0</v>
      </c>
    </row>
    <row r="506" spans="1:23" ht="15" customHeight="1" x14ac:dyDescent="0.2">
      <c r="A506" s="14" t="s">
        <v>2790</v>
      </c>
      <c r="B506" s="14" t="s">
        <v>2791</v>
      </c>
      <c r="C506" s="14" t="s">
        <v>2027</v>
      </c>
      <c r="D506" s="14" t="s">
        <v>44</v>
      </c>
      <c r="E506" s="14" t="s">
        <v>1988</v>
      </c>
      <c r="F506" s="14">
        <v>1472</v>
      </c>
      <c r="G506" s="15">
        <v>417.85</v>
      </c>
      <c r="H506" s="16">
        <v>46004</v>
      </c>
      <c r="I506" s="16">
        <v>46089</v>
      </c>
      <c r="J506" s="16">
        <v>46638</v>
      </c>
      <c r="K506" s="14" t="s">
        <v>2052</v>
      </c>
      <c r="L506" s="16">
        <f>IF(D506="Packaging","",IF(ISNUMBER(J506),J506,IF(ISNUMBER(I506),EDATE(I506,VLOOKUP(D506,Assumptions!$A$10:$B$16,2,0)),"")))</f>
        <v>46638</v>
      </c>
      <c r="M506" s="14">
        <f>IF(ISNUMBER(L506),L506-Assumptions!$B$5,"")</f>
        <v>616</v>
      </c>
      <c r="N506" s="17">
        <f t="shared" si="42"/>
        <v>0</v>
      </c>
      <c r="O506" s="14">
        <f>IF(COUNTIF(Assumptions!$A$25:$A$27,A506)&gt;0,1,0)</f>
        <v>0</v>
      </c>
      <c r="P506" s="14">
        <f>IF(COUNTIF(Assumptions!$B$25:$B$26,A506)&gt;0,1,0)</f>
        <v>0</v>
      </c>
      <c r="Q506" s="14">
        <f>IF(COUNTIF(Assumptions!$C$25:$C$25,A506)&gt;0,1,0)</f>
        <v>0</v>
      </c>
      <c r="R506" s="17">
        <f t="shared" si="43"/>
        <v>0</v>
      </c>
      <c r="S506" s="15" t="str">
        <f>IFERROR(VLOOKUP(A506,Assumptions!$A$31:$B$33,2,0),"")</f>
        <v/>
      </c>
      <c r="T506" s="15">
        <f t="shared" si="44"/>
        <v>417.85</v>
      </c>
      <c r="U506" s="15">
        <f t="shared" si="45"/>
        <v>615075.20000000007</v>
      </c>
      <c r="V506" s="15">
        <f t="shared" si="46"/>
        <v>615075.20000000007</v>
      </c>
      <c r="W506" s="15">
        <f t="shared" si="47"/>
        <v>0</v>
      </c>
    </row>
    <row r="507" spans="1:23" ht="15" customHeight="1" x14ac:dyDescent="0.2">
      <c r="A507" s="14" t="s">
        <v>2792</v>
      </c>
      <c r="B507" s="14" t="s">
        <v>2793</v>
      </c>
      <c r="C507" s="14" t="s">
        <v>2069</v>
      </c>
      <c r="D507" s="14" t="s">
        <v>47</v>
      </c>
      <c r="E507" s="14" t="s">
        <v>1993</v>
      </c>
      <c r="F507" s="14">
        <v>1421</v>
      </c>
      <c r="G507" s="15">
        <v>316.66000000000003</v>
      </c>
      <c r="H507" s="16">
        <v>45402</v>
      </c>
      <c r="I507" s="16">
        <v>45339</v>
      </c>
      <c r="J507" s="16"/>
      <c r="K507" s="14" t="s">
        <v>2030</v>
      </c>
      <c r="L507" s="16" t="str">
        <f>IF(D507="Packaging","",IF(ISNUMBER(J507),J507,IF(ISNUMBER(I507),EDATE(I507,VLOOKUP(D507,Assumptions!$A$10:$B$16,2,0)),"")))</f>
        <v/>
      </c>
      <c r="M507" s="14" t="str">
        <f>IF(ISNUMBER(L507),L507-Assumptions!$B$5,"")</f>
        <v/>
      </c>
      <c r="N507" s="17">
        <f t="shared" si="42"/>
        <v>0</v>
      </c>
      <c r="O507" s="14">
        <f>IF(COUNTIF(Assumptions!$A$25:$A$27,A507)&gt;0,1,0)</f>
        <v>0</v>
      </c>
      <c r="P507" s="14">
        <f>IF(COUNTIF(Assumptions!$B$25:$B$26,A507)&gt;0,1,0)</f>
        <v>0</v>
      </c>
      <c r="Q507" s="14">
        <f>IF(COUNTIF(Assumptions!$C$25:$C$25,A507)&gt;0,1,0)</f>
        <v>0</v>
      </c>
      <c r="R507" s="17">
        <f t="shared" si="43"/>
        <v>0</v>
      </c>
      <c r="S507" s="15" t="str">
        <f>IFERROR(VLOOKUP(A507,Assumptions!$A$31:$B$33,2,0),"")</f>
        <v/>
      </c>
      <c r="T507" s="15">
        <f t="shared" si="44"/>
        <v>316.66000000000003</v>
      </c>
      <c r="U507" s="15">
        <f t="shared" si="45"/>
        <v>449973.86000000004</v>
      </c>
      <c r="V507" s="15">
        <f t="shared" si="46"/>
        <v>449973.86000000004</v>
      </c>
      <c r="W507" s="15">
        <f t="shared" si="47"/>
        <v>0</v>
      </c>
    </row>
    <row r="508" spans="1:23" ht="15" customHeight="1" x14ac:dyDescent="0.2">
      <c r="A508" s="14" t="s">
        <v>43</v>
      </c>
      <c r="B508" s="14" t="s">
        <v>2794</v>
      </c>
      <c r="C508" s="14" t="s">
        <v>2000</v>
      </c>
      <c r="D508" s="14" t="s">
        <v>45</v>
      </c>
      <c r="E508" s="14" t="s">
        <v>2037</v>
      </c>
      <c r="F508" s="14">
        <v>2919</v>
      </c>
      <c r="G508" s="15">
        <v>310.57</v>
      </c>
      <c r="H508" s="16">
        <v>46013</v>
      </c>
      <c r="I508" s="16">
        <v>46517</v>
      </c>
      <c r="J508" s="16">
        <v>46701</v>
      </c>
      <c r="K508" s="14" t="s">
        <v>2004</v>
      </c>
      <c r="L508" s="16">
        <f>IF(D508="Packaging","",IF(ISNUMBER(J508),J508,IF(ISNUMBER(I508),EDATE(I508,VLOOKUP(D508,Assumptions!$A$10:$B$16,2,0)),"")))</f>
        <v>46701</v>
      </c>
      <c r="M508" s="14">
        <f>IF(ISNUMBER(L508),L508-Assumptions!$B$5,"")</f>
        <v>679</v>
      </c>
      <c r="N508" s="17">
        <f t="shared" si="42"/>
        <v>0</v>
      </c>
      <c r="O508" s="14">
        <f>IF(COUNTIF(Assumptions!$A$25:$A$27,A508)&gt;0,1,0)</f>
        <v>0</v>
      </c>
      <c r="P508" s="14">
        <f>IF(COUNTIF(Assumptions!$B$25:$B$26,A508)&gt;0,1,0)</f>
        <v>0</v>
      </c>
      <c r="Q508" s="14">
        <f>IF(COUNTIF(Assumptions!$C$25:$C$25,A508)&gt;0,1,0)</f>
        <v>0</v>
      </c>
      <c r="R508" s="17">
        <f t="shared" si="43"/>
        <v>0</v>
      </c>
      <c r="S508" s="15">
        <f>IFERROR(VLOOKUP(A508,Assumptions!$A$31:$B$33,2,0),"")</f>
        <v>355.28</v>
      </c>
      <c r="T508" s="15">
        <f t="shared" si="44"/>
        <v>310.57</v>
      </c>
      <c r="U508" s="15">
        <f t="shared" si="45"/>
        <v>906553.83</v>
      </c>
      <c r="V508" s="15">
        <f t="shared" si="46"/>
        <v>906553.83</v>
      </c>
      <c r="W508" s="15">
        <f t="shared" si="47"/>
        <v>0</v>
      </c>
    </row>
    <row r="509" spans="1:23" ht="15" customHeight="1" x14ac:dyDescent="0.2">
      <c r="A509" s="14" t="s">
        <v>2795</v>
      </c>
      <c r="B509" s="14" t="s">
        <v>2796</v>
      </c>
      <c r="C509" s="14" t="s">
        <v>2069</v>
      </c>
      <c r="D509" s="14" t="s">
        <v>47</v>
      </c>
      <c r="E509" s="14" t="s">
        <v>1993</v>
      </c>
      <c r="F509" s="14">
        <v>1608</v>
      </c>
      <c r="G509" s="15">
        <v>322.52999999999997</v>
      </c>
      <c r="H509" s="16">
        <v>45699</v>
      </c>
      <c r="I509" s="16">
        <v>45640</v>
      </c>
      <c r="J509" s="16"/>
      <c r="K509" s="14" t="s">
        <v>2052</v>
      </c>
      <c r="L509" s="16" t="str">
        <f>IF(D509="Packaging","",IF(ISNUMBER(J509),J509,IF(ISNUMBER(I509),EDATE(I509,VLOOKUP(D509,Assumptions!$A$10:$B$16,2,0)),"")))</f>
        <v/>
      </c>
      <c r="M509" s="14" t="str">
        <f>IF(ISNUMBER(L509),L509-Assumptions!$B$5,"")</f>
        <v/>
      </c>
      <c r="N509" s="17">
        <f t="shared" si="42"/>
        <v>0</v>
      </c>
      <c r="O509" s="14">
        <f>IF(COUNTIF(Assumptions!$A$25:$A$27,A509)&gt;0,1,0)</f>
        <v>0</v>
      </c>
      <c r="P509" s="14">
        <f>IF(COUNTIF(Assumptions!$B$25:$B$26,A509)&gt;0,1,0)</f>
        <v>0</v>
      </c>
      <c r="Q509" s="14">
        <f>IF(COUNTIF(Assumptions!$C$25:$C$25,A509)&gt;0,1,0)</f>
        <v>0</v>
      </c>
      <c r="R509" s="17">
        <f t="shared" si="43"/>
        <v>0</v>
      </c>
      <c r="S509" s="15" t="str">
        <f>IFERROR(VLOOKUP(A509,Assumptions!$A$31:$B$33,2,0),"")</f>
        <v/>
      </c>
      <c r="T509" s="15">
        <f t="shared" si="44"/>
        <v>322.52999999999997</v>
      </c>
      <c r="U509" s="15">
        <f t="shared" si="45"/>
        <v>518628.23999999993</v>
      </c>
      <c r="V509" s="15">
        <f t="shared" si="46"/>
        <v>518628.23999999993</v>
      </c>
      <c r="W509" s="15">
        <f t="shared" si="47"/>
        <v>0</v>
      </c>
    </row>
    <row r="510" spans="1:23" ht="15" customHeight="1" x14ac:dyDescent="0.2">
      <c r="A510" s="14" t="s">
        <v>1360</v>
      </c>
      <c r="B510" s="14" t="s">
        <v>1359</v>
      </c>
      <c r="C510" s="14" t="s">
        <v>2043</v>
      </c>
      <c r="D510" s="14" t="s">
        <v>39</v>
      </c>
      <c r="E510" s="14" t="s">
        <v>1993</v>
      </c>
      <c r="F510" s="14">
        <v>3680</v>
      </c>
      <c r="G510" s="15">
        <v>198.19</v>
      </c>
      <c r="H510" s="16">
        <v>45457</v>
      </c>
      <c r="I510" s="16">
        <v>45445</v>
      </c>
      <c r="J510" s="16"/>
      <c r="K510" s="14" t="s">
        <v>2004</v>
      </c>
      <c r="L510" s="16">
        <f>IF(D510="Packaging","",IF(ISNUMBER(J510),J510,IF(ISNUMBER(I510),EDATE(I510,VLOOKUP(D510,Assumptions!$A$10:$B$16,2,0)),"")))</f>
        <v>46540</v>
      </c>
      <c r="M510" s="14">
        <f>IF(ISNUMBER(L510),L510-Assumptions!$B$5,"")</f>
        <v>518</v>
      </c>
      <c r="N510" s="17">
        <f t="shared" si="42"/>
        <v>0</v>
      </c>
      <c r="O510" s="14">
        <f>IF(COUNTIF(Assumptions!$A$25:$A$27,A510)&gt;0,1,0)</f>
        <v>0</v>
      </c>
      <c r="P510" s="14">
        <f>IF(COUNTIF(Assumptions!$B$25:$B$26,A510)&gt;0,1,0)</f>
        <v>0</v>
      </c>
      <c r="Q510" s="14">
        <f>IF(COUNTIF(Assumptions!$C$25:$C$25,A510)&gt;0,1,0)</f>
        <v>0</v>
      </c>
      <c r="R510" s="17">
        <f t="shared" si="43"/>
        <v>0</v>
      </c>
      <c r="S510" s="15" t="str">
        <f>IFERROR(VLOOKUP(A510,Assumptions!$A$31:$B$33,2,0),"")</f>
        <v/>
      </c>
      <c r="T510" s="15">
        <f t="shared" si="44"/>
        <v>198.19</v>
      </c>
      <c r="U510" s="15">
        <f t="shared" si="45"/>
        <v>729339.2</v>
      </c>
      <c r="V510" s="15">
        <f t="shared" si="46"/>
        <v>729339.2</v>
      </c>
      <c r="W510" s="15">
        <f t="shared" si="47"/>
        <v>0</v>
      </c>
    </row>
    <row r="511" spans="1:23" ht="15" customHeight="1" x14ac:dyDescent="0.2">
      <c r="A511" s="14" t="s">
        <v>2797</v>
      </c>
      <c r="B511" s="14" t="s">
        <v>2798</v>
      </c>
      <c r="C511" s="14" t="s">
        <v>2003</v>
      </c>
      <c r="D511" s="14" t="s">
        <v>46</v>
      </c>
      <c r="E511" s="14" t="s">
        <v>1988</v>
      </c>
      <c r="F511" s="14">
        <v>965</v>
      </c>
      <c r="G511" s="15">
        <v>249.7</v>
      </c>
      <c r="H511" s="16">
        <v>45977</v>
      </c>
      <c r="I511" s="16">
        <v>46308</v>
      </c>
      <c r="J511" s="16"/>
      <c r="K511" s="14" t="s">
        <v>2030</v>
      </c>
      <c r="L511" s="16">
        <f>IF(D511="Packaging","",IF(ISNUMBER(J511),J511,IF(ISNUMBER(I511),EDATE(I511,VLOOKUP(D511,Assumptions!$A$10:$B$16,2,0)),"")))</f>
        <v>46581</v>
      </c>
      <c r="M511" s="14">
        <f>IF(ISNUMBER(L511),L511-Assumptions!$B$5,"")</f>
        <v>559</v>
      </c>
      <c r="N511" s="17">
        <f t="shared" si="42"/>
        <v>0</v>
      </c>
      <c r="O511" s="14">
        <f>IF(COUNTIF(Assumptions!$A$25:$A$27,A511)&gt;0,1,0)</f>
        <v>0</v>
      </c>
      <c r="P511" s="14">
        <f>IF(COUNTIF(Assumptions!$B$25:$B$26,A511)&gt;0,1,0)</f>
        <v>0</v>
      </c>
      <c r="Q511" s="14">
        <f>IF(COUNTIF(Assumptions!$C$25:$C$25,A511)&gt;0,1,0)</f>
        <v>0</v>
      </c>
      <c r="R511" s="17">
        <f t="shared" si="43"/>
        <v>0</v>
      </c>
      <c r="S511" s="15" t="str">
        <f>IFERROR(VLOOKUP(A511,Assumptions!$A$31:$B$33,2,0),"")</f>
        <v/>
      </c>
      <c r="T511" s="15">
        <f t="shared" si="44"/>
        <v>249.7</v>
      </c>
      <c r="U511" s="15">
        <f t="shared" si="45"/>
        <v>240960.5</v>
      </c>
      <c r="V511" s="15">
        <f t="shared" si="46"/>
        <v>240960.5</v>
      </c>
      <c r="W511" s="15">
        <f t="shared" si="47"/>
        <v>0</v>
      </c>
    </row>
    <row r="512" spans="1:23" ht="15" customHeight="1" x14ac:dyDescent="0.2">
      <c r="A512" s="14" t="s">
        <v>1381</v>
      </c>
      <c r="B512" s="14" t="s">
        <v>1380</v>
      </c>
      <c r="C512" s="14" t="s">
        <v>2119</v>
      </c>
      <c r="D512" s="14" t="s">
        <v>39</v>
      </c>
      <c r="E512" s="14" t="s">
        <v>1988</v>
      </c>
      <c r="F512" s="14">
        <v>205</v>
      </c>
      <c r="G512" s="15">
        <v>235.89</v>
      </c>
      <c r="H512" s="16">
        <v>45291</v>
      </c>
      <c r="I512" s="16">
        <v>45221</v>
      </c>
      <c r="J512" s="16">
        <v>46317</v>
      </c>
      <c r="K512" s="14" t="s">
        <v>2004</v>
      </c>
      <c r="L512" s="16">
        <f>IF(D512="Packaging","",IF(ISNUMBER(J512),J512,IF(ISNUMBER(I512),EDATE(I512,VLOOKUP(D512,Assumptions!$A$10:$B$16,2,0)),"")))</f>
        <v>46317</v>
      </c>
      <c r="M512" s="14">
        <f>IF(ISNUMBER(L512),L512-Assumptions!$B$5,"")</f>
        <v>295</v>
      </c>
      <c r="N512" s="17">
        <f t="shared" si="42"/>
        <v>0</v>
      </c>
      <c r="O512" s="14">
        <f>IF(COUNTIF(Assumptions!$A$25:$A$27,A512)&gt;0,1,0)</f>
        <v>0</v>
      </c>
      <c r="P512" s="14">
        <f>IF(COUNTIF(Assumptions!$B$25:$B$26,A512)&gt;0,1,0)</f>
        <v>0</v>
      </c>
      <c r="Q512" s="14">
        <f>IF(COUNTIF(Assumptions!$C$25:$C$25,A512)&gt;0,1,0)</f>
        <v>0</v>
      </c>
      <c r="R512" s="17">
        <f t="shared" si="43"/>
        <v>0</v>
      </c>
      <c r="S512" s="15" t="str">
        <f>IFERROR(VLOOKUP(A512,Assumptions!$A$31:$B$33,2,0),"")</f>
        <v/>
      </c>
      <c r="T512" s="15">
        <f t="shared" si="44"/>
        <v>235.89</v>
      </c>
      <c r="U512" s="15">
        <f t="shared" si="45"/>
        <v>48357.45</v>
      </c>
      <c r="V512" s="15">
        <f t="shared" si="46"/>
        <v>48357.45</v>
      </c>
      <c r="W512" s="15">
        <f t="shared" si="47"/>
        <v>0</v>
      </c>
    </row>
    <row r="513" spans="1:23" ht="15" customHeight="1" x14ac:dyDescent="0.2">
      <c r="A513" s="14" t="s">
        <v>2799</v>
      </c>
      <c r="B513" s="14" t="s">
        <v>2800</v>
      </c>
      <c r="C513" s="14" t="s">
        <v>2107</v>
      </c>
      <c r="D513" s="14" t="s">
        <v>42</v>
      </c>
      <c r="E513" s="14" t="s">
        <v>2037</v>
      </c>
      <c r="F513" s="14">
        <v>164</v>
      </c>
      <c r="G513" s="15">
        <v>259.64999999999998</v>
      </c>
      <c r="H513" s="16">
        <v>46001</v>
      </c>
      <c r="I513" s="16">
        <v>46162</v>
      </c>
      <c r="J513" s="16">
        <v>46527</v>
      </c>
      <c r="K513" s="14" t="s">
        <v>1989</v>
      </c>
      <c r="L513" s="16">
        <f>IF(D513="Packaging","",IF(ISNUMBER(J513),J513,IF(ISNUMBER(I513),EDATE(I513,VLOOKUP(D513,Assumptions!$A$10:$B$16,2,0)),"")))</f>
        <v>46527</v>
      </c>
      <c r="M513" s="14">
        <f>IF(ISNUMBER(L513),L513-Assumptions!$B$5,"")</f>
        <v>505</v>
      </c>
      <c r="N513" s="17">
        <f t="shared" si="42"/>
        <v>0</v>
      </c>
      <c r="O513" s="14">
        <f>IF(COUNTIF(Assumptions!$A$25:$A$27,A513)&gt;0,1,0)</f>
        <v>0</v>
      </c>
      <c r="P513" s="14">
        <f>IF(COUNTIF(Assumptions!$B$25:$B$26,A513)&gt;0,1,0)</f>
        <v>0</v>
      </c>
      <c r="Q513" s="14">
        <f>IF(COUNTIF(Assumptions!$C$25:$C$25,A513)&gt;0,1,0)</f>
        <v>0</v>
      </c>
      <c r="R513" s="17">
        <f t="shared" si="43"/>
        <v>0</v>
      </c>
      <c r="S513" s="15" t="str">
        <f>IFERROR(VLOOKUP(A513,Assumptions!$A$31:$B$33,2,0),"")</f>
        <v/>
      </c>
      <c r="T513" s="15">
        <f t="shared" si="44"/>
        <v>259.64999999999998</v>
      </c>
      <c r="U513" s="15">
        <f t="shared" si="45"/>
        <v>42582.6</v>
      </c>
      <c r="V513" s="15">
        <f t="shared" si="46"/>
        <v>42582.6</v>
      </c>
      <c r="W513" s="15">
        <f t="shared" si="47"/>
        <v>0</v>
      </c>
    </row>
    <row r="514" spans="1:23" ht="15" customHeight="1" x14ac:dyDescent="0.2">
      <c r="A514" s="14" t="s">
        <v>2801</v>
      </c>
      <c r="B514" s="14" t="s">
        <v>2802</v>
      </c>
      <c r="C514" s="14" t="s">
        <v>2033</v>
      </c>
      <c r="D514" s="14" t="s">
        <v>47</v>
      </c>
      <c r="E514" s="14" t="s">
        <v>2014</v>
      </c>
      <c r="F514" s="14">
        <v>1262</v>
      </c>
      <c r="G514" s="15">
        <v>173.09</v>
      </c>
      <c r="H514" s="16">
        <v>45942</v>
      </c>
      <c r="I514" s="16">
        <v>45892</v>
      </c>
      <c r="J514" s="16"/>
      <c r="K514" s="14" t="s">
        <v>2004</v>
      </c>
      <c r="L514" s="16" t="str">
        <f>IF(D514="Packaging","",IF(ISNUMBER(J514),J514,IF(ISNUMBER(I514),EDATE(I514,VLOOKUP(D514,Assumptions!$A$10:$B$16,2,0)),"")))</f>
        <v/>
      </c>
      <c r="M514" s="14" t="str">
        <f>IF(ISNUMBER(L514),L514-Assumptions!$B$5,"")</f>
        <v/>
      </c>
      <c r="N514" s="17">
        <f t="shared" ref="N514:N577" si="48">IF(D514="Packaging",0,IF(NOT(ISNUMBER(L514)),0,IF(M514&lt;0,1,IF(M514&lt;=90,0.5,IF(M514&lt;=180,0.25,0)))))</f>
        <v>0</v>
      </c>
      <c r="O514" s="14">
        <f>IF(COUNTIF(Assumptions!$A$25:$A$27,A514)&gt;0,1,0)</f>
        <v>0</v>
      </c>
      <c r="P514" s="14">
        <f>IF(COUNTIF(Assumptions!$B$25:$B$26,A514)&gt;0,1,0)</f>
        <v>0</v>
      </c>
      <c r="Q514" s="14">
        <f>IF(COUNTIF(Assumptions!$C$25:$C$25,A514)&gt;0,1,0)</f>
        <v>0</v>
      </c>
      <c r="R514" s="17">
        <f t="shared" ref="R514:R577" si="49">IF(OR(O514=1,Q514=1),1,IF(P514=1,0.5,N514))</f>
        <v>0</v>
      </c>
      <c r="S514" s="15" t="str">
        <f>IFERROR(VLOOKUP(A514,Assumptions!$A$31:$B$33,2,0),"")</f>
        <v/>
      </c>
      <c r="T514" s="15">
        <f t="shared" ref="T514:T577" si="50">IF(S514="",G514,MIN(G514,S514))</f>
        <v>173.09</v>
      </c>
      <c r="U514" s="15">
        <f t="shared" ref="U514:U577" si="51">F514*G514</f>
        <v>218439.58000000002</v>
      </c>
      <c r="V514" s="15">
        <f t="shared" ref="V514:V577" si="52">F514*T514*(1-R514)</f>
        <v>218439.58000000002</v>
      </c>
      <c r="W514" s="15">
        <f t="shared" ref="W514:W577" si="53">U514-V514</f>
        <v>0</v>
      </c>
    </row>
    <row r="515" spans="1:23" ht="15" customHeight="1" x14ac:dyDescent="0.2">
      <c r="A515" s="14" t="s">
        <v>1397</v>
      </c>
      <c r="B515" s="14" t="s">
        <v>1396</v>
      </c>
      <c r="C515" s="14" t="s">
        <v>2119</v>
      </c>
      <c r="D515" s="14" t="s">
        <v>39</v>
      </c>
      <c r="E515" s="14" t="s">
        <v>1988</v>
      </c>
      <c r="F515" s="14">
        <v>3604</v>
      </c>
      <c r="G515" s="15">
        <v>152.05000000000001</v>
      </c>
      <c r="H515" s="16">
        <v>45630</v>
      </c>
      <c r="I515" s="16">
        <v>45618</v>
      </c>
      <c r="J515" s="16"/>
      <c r="K515" s="14" t="s">
        <v>2052</v>
      </c>
      <c r="L515" s="16">
        <f>IF(D515="Packaging","",IF(ISNUMBER(J515),J515,IF(ISNUMBER(I515),EDATE(I515,VLOOKUP(D515,Assumptions!$A$10:$B$16,2,0)),"")))</f>
        <v>46713</v>
      </c>
      <c r="M515" s="14">
        <f>IF(ISNUMBER(L515),L515-Assumptions!$B$5,"")</f>
        <v>691</v>
      </c>
      <c r="N515" s="17">
        <f t="shared" si="48"/>
        <v>0</v>
      </c>
      <c r="O515" s="14">
        <f>IF(COUNTIF(Assumptions!$A$25:$A$27,A515)&gt;0,1,0)</f>
        <v>0</v>
      </c>
      <c r="P515" s="14">
        <f>IF(COUNTIF(Assumptions!$B$25:$B$26,A515)&gt;0,1,0)</f>
        <v>0</v>
      </c>
      <c r="Q515" s="14">
        <f>IF(COUNTIF(Assumptions!$C$25:$C$25,A515)&gt;0,1,0)</f>
        <v>0</v>
      </c>
      <c r="R515" s="17">
        <f t="shared" si="49"/>
        <v>0</v>
      </c>
      <c r="S515" s="15" t="str">
        <f>IFERROR(VLOOKUP(A515,Assumptions!$A$31:$B$33,2,0),"")</f>
        <v/>
      </c>
      <c r="T515" s="15">
        <f t="shared" si="50"/>
        <v>152.05000000000001</v>
      </c>
      <c r="U515" s="15">
        <f t="shared" si="51"/>
        <v>547988.20000000007</v>
      </c>
      <c r="V515" s="15">
        <f t="shared" si="52"/>
        <v>547988.20000000007</v>
      </c>
      <c r="W515" s="15">
        <f t="shared" si="53"/>
        <v>0</v>
      </c>
    </row>
    <row r="516" spans="1:23" ht="15" customHeight="1" x14ac:dyDescent="0.2">
      <c r="A516" s="14" t="s">
        <v>2803</v>
      </c>
      <c r="B516" s="14" t="s">
        <v>2804</v>
      </c>
      <c r="C516" s="14" t="s">
        <v>2101</v>
      </c>
      <c r="D516" s="14" t="s">
        <v>46</v>
      </c>
      <c r="E516" s="14" t="s">
        <v>2014</v>
      </c>
      <c r="F516" s="14">
        <v>2708</v>
      </c>
      <c r="G516" s="15">
        <v>227.2</v>
      </c>
      <c r="H516" s="16">
        <v>45998</v>
      </c>
      <c r="I516" s="16">
        <v>46578</v>
      </c>
      <c r="J516" s="16"/>
      <c r="K516" s="14" t="s">
        <v>2015</v>
      </c>
      <c r="L516" s="16">
        <f>IF(D516="Packaging","",IF(ISNUMBER(J516),J516,IF(ISNUMBER(I516),EDATE(I516,VLOOKUP(D516,Assumptions!$A$10:$B$16,2,0)),"")))</f>
        <v>46853</v>
      </c>
      <c r="M516" s="14">
        <f>IF(ISNUMBER(L516),L516-Assumptions!$B$5,"")</f>
        <v>831</v>
      </c>
      <c r="N516" s="17">
        <f t="shared" si="48"/>
        <v>0</v>
      </c>
      <c r="O516" s="14">
        <f>IF(COUNTIF(Assumptions!$A$25:$A$27,A516)&gt;0,1,0)</f>
        <v>0</v>
      </c>
      <c r="P516" s="14">
        <f>IF(COUNTIF(Assumptions!$B$25:$B$26,A516)&gt;0,1,0)</f>
        <v>0</v>
      </c>
      <c r="Q516" s="14">
        <f>IF(COUNTIF(Assumptions!$C$25:$C$25,A516)&gt;0,1,0)</f>
        <v>0</v>
      </c>
      <c r="R516" s="17">
        <f t="shared" si="49"/>
        <v>0</v>
      </c>
      <c r="S516" s="15" t="str">
        <f>IFERROR(VLOOKUP(A516,Assumptions!$A$31:$B$33,2,0),"")</f>
        <v/>
      </c>
      <c r="T516" s="15">
        <f t="shared" si="50"/>
        <v>227.2</v>
      </c>
      <c r="U516" s="15">
        <f t="shared" si="51"/>
        <v>615257.59999999998</v>
      </c>
      <c r="V516" s="15">
        <f t="shared" si="52"/>
        <v>615257.59999999998</v>
      </c>
      <c r="W516" s="15">
        <f t="shared" si="53"/>
        <v>0</v>
      </c>
    </row>
    <row r="517" spans="1:23" ht="15" customHeight="1" x14ac:dyDescent="0.2">
      <c r="A517" s="14" t="s">
        <v>2805</v>
      </c>
      <c r="B517" s="14" t="s">
        <v>2806</v>
      </c>
      <c r="C517" s="14" t="s">
        <v>2101</v>
      </c>
      <c r="D517" s="14" t="s">
        <v>46</v>
      </c>
      <c r="E517" s="14" t="s">
        <v>1988</v>
      </c>
      <c r="F517" s="14">
        <v>4347</v>
      </c>
      <c r="G517" s="15">
        <v>282.67</v>
      </c>
      <c r="H517" s="16">
        <v>45996</v>
      </c>
      <c r="I517" s="16">
        <v>46525</v>
      </c>
      <c r="J517" s="16">
        <v>46801</v>
      </c>
      <c r="K517" s="14" t="s">
        <v>2021</v>
      </c>
      <c r="L517" s="16">
        <f>IF(D517="Packaging","",IF(ISNUMBER(J517),J517,IF(ISNUMBER(I517),EDATE(I517,VLOOKUP(D517,Assumptions!$A$10:$B$16,2,0)),"")))</f>
        <v>46801</v>
      </c>
      <c r="M517" s="14">
        <f>IF(ISNUMBER(L517),L517-Assumptions!$B$5,"")</f>
        <v>779</v>
      </c>
      <c r="N517" s="17">
        <f t="shared" si="48"/>
        <v>0</v>
      </c>
      <c r="O517" s="14">
        <f>IF(COUNTIF(Assumptions!$A$25:$A$27,A517)&gt;0,1,0)</f>
        <v>0</v>
      </c>
      <c r="P517" s="14">
        <f>IF(COUNTIF(Assumptions!$B$25:$B$26,A517)&gt;0,1,0)</f>
        <v>0</v>
      </c>
      <c r="Q517" s="14">
        <f>IF(COUNTIF(Assumptions!$C$25:$C$25,A517)&gt;0,1,0)</f>
        <v>0</v>
      </c>
      <c r="R517" s="17">
        <f t="shared" si="49"/>
        <v>0</v>
      </c>
      <c r="S517" s="15" t="str">
        <f>IFERROR(VLOOKUP(A517,Assumptions!$A$31:$B$33,2,0),"")</f>
        <v/>
      </c>
      <c r="T517" s="15">
        <f t="shared" si="50"/>
        <v>282.67</v>
      </c>
      <c r="U517" s="15">
        <f t="shared" si="51"/>
        <v>1228766.49</v>
      </c>
      <c r="V517" s="15">
        <f t="shared" si="52"/>
        <v>1228766.49</v>
      </c>
      <c r="W517" s="15">
        <f t="shared" si="53"/>
        <v>0</v>
      </c>
    </row>
    <row r="518" spans="1:23" ht="15" customHeight="1" x14ac:dyDescent="0.2">
      <c r="A518" s="14" t="s">
        <v>2807</v>
      </c>
      <c r="B518" s="14" t="s">
        <v>2808</v>
      </c>
      <c r="C518" s="14" t="s">
        <v>2049</v>
      </c>
      <c r="D518" s="14" t="s">
        <v>42</v>
      </c>
      <c r="E518" s="14" t="s">
        <v>1988</v>
      </c>
      <c r="F518" s="14">
        <v>1429</v>
      </c>
      <c r="G518" s="15">
        <v>7.35</v>
      </c>
      <c r="H518" s="16">
        <v>45967</v>
      </c>
      <c r="I518" s="16">
        <v>46098</v>
      </c>
      <c r="J518" s="16">
        <v>46463</v>
      </c>
      <c r="K518" s="14" t="s">
        <v>1994</v>
      </c>
      <c r="L518" s="16">
        <f>IF(D518="Packaging","",IF(ISNUMBER(J518),J518,IF(ISNUMBER(I518),EDATE(I518,VLOOKUP(D518,Assumptions!$A$10:$B$16,2,0)),"")))</f>
        <v>46463</v>
      </c>
      <c r="M518" s="14">
        <f>IF(ISNUMBER(L518),L518-Assumptions!$B$5,"")</f>
        <v>441</v>
      </c>
      <c r="N518" s="17">
        <f t="shared" si="48"/>
        <v>0</v>
      </c>
      <c r="O518" s="14">
        <f>IF(COUNTIF(Assumptions!$A$25:$A$27,A518)&gt;0,1,0)</f>
        <v>0</v>
      </c>
      <c r="P518" s="14">
        <f>IF(COUNTIF(Assumptions!$B$25:$B$26,A518)&gt;0,1,0)</f>
        <v>0</v>
      </c>
      <c r="Q518" s="14">
        <f>IF(COUNTIF(Assumptions!$C$25:$C$25,A518)&gt;0,1,0)</f>
        <v>0</v>
      </c>
      <c r="R518" s="17">
        <f t="shared" si="49"/>
        <v>0</v>
      </c>
      <c r="S518" s="15" t="str">
        <f>IFERROR(VLOOKUP(A518,Assumptions!$A$31:$B$33,2,0),"")</f>
        <v/>
      </c>
      <c r="T518" s="15">
        <f t="shared" si="50"/>
        <v>7.35</v>
      </c>
      <c r="U518" s="15">
        <f t="shared" si="51"/>
        <v>10503.15</v>
      </c>
      <c r="V518" s="15">
        <f t="shared" si="52"/>
        <v>10503.15</v>
      </c>
      <c r="W518" s="15">
        <f t="shared" si="53"/>
        <v>0</v>
      </c>
    </row>
    <row r="519" spans="1:23" ht="15" customHeight="1" x14ac:dyDescent="0.2">
      <c r="A519" s="14" t="s">
        <v>2809</v>
      </c>
      <c r="B519" s="14" t="s">
        <v>2810</v>
      </c>
      <c r="C519" s="14" t="s">
        <v>2010</v>
      </c>
      <c r="D519" s="14" t="s">
        <v>46</v>
      </c>
      <c r="E519" s="14" t="s">
        <v>1993</v>
      </c>
      <c r="F519" s="14">
        <v>232</v>
      </c>
      <c r="G519" s="15">
        <v>409.93</v>
      </c>
      <c r="H519" s="16">
        <v>45988</v>
      </c>
      <c r="I519" s="16">
        <v>46154</v>
      </c>
      <c r="J519" s="16">
        <v>46430</v>
      </c>
      <c r="K519" s="14" t="s">
        <v>2021</v>
      </c>
      <c r="L519" s="16">
        <f>IF(D519="Packaging","",IF(ISNUMBER(J519),J519,IF(ISNUMBER(I519),EDATE(I519,VLOOKUP(D519,Assumptions!$A$10:$B$16,2,0)),"")))</f>
        <v>46430</v>
      </c>
      <c r="M519" s="14">
        <f>IF(ISNUMBER(L519),L519-Assumptions!$B$5,"")</f>
        <v>408</v>
      </c>
      <c r="N519" s="17">
        <f t="shared" si="48"/>
        <v>0</v>
      </c>
      <c r="O519" s="14">
        <f>IF(COUNTIF(Assumptions!$A$25:$A$27,A519)&gt;0,1,0)</f>
        <v>0</v>
      </c>
      <c r="P519" s="14">
        <f>IF(COUNTIF(Assumptions!$B$25:$B$26,A519)&gt;0,1,0)</f>
        <v>0</v>
      </c>
      <c r="Q519" s="14">
        <f>IF(COUNTIF(Assumptions!$C$25:$C$25,A519)&gt;0,1,0)</f>
        <v>0</v>
      </c>
      <c r="R519" s="17">
        <f t="shared" si="49"/>
        <v>0</v>
      </c>
      <c r="S519" s="15" t="str">
        <f>IFERROR(VLOOKUP(A519,Assumptions!$A$31:$B$33,2,0),"")</f>
        <v/>
      </c>
      <c r="T519" s="15">
        <f t="shared" si="50"/>
        <v>409.93</v>
      </c>
      <c r="U519" s="15">
        <f t="shared" si="51"/>
        <v>95103.76</v>
      </c>
      <c r="V519" s="15">
        <f t="shared" si="52"/>
        <v>95103.76</v>
      </c>
      <c r="W519" s="15">
        <f t="shared" si="53"/>
        <v>0</v>
      </c>
    </row>
    <row r="520" spans="1:23" ht="15" customHeight="1" x14ac:dyDescent="0.2">
      <c r="A520" s="14" t="s">
        <v>1408</v>
      </c>
      <c r="B520" s="14" t="s">
        <v>1407</v>
      </c>
      <c r="C520" s="14" t="s">
        <v>2108</v>
      </c>
      <c r="D520" s="14" t="s">
        <v>39</v>
      </c>
      <c r="E520" s="14" t="s">
        <v>2037</v>
      </c>
      <c r="F520" s="14">
        <v>1423</v>
      </c>
      <c r="G520" s="15">
        <v>40.049999999999997</v>
      </c>
      <c r="H520" s="16">
        <v>45271</v>
      </c>
      <c r="I520" s="16">
        <v>45199</v>
      </c>
      <c r="J520" s="16">
        <v>46295</v>
      </c>
      <c r="K520" s="14" t="s">
        <v>2021</v>
      </c>
      <c r="L520" s="16">
        <f>IF(D520="Packaging","",IF(ISNUMBER(J520),J520,IF(ISNUMBER(I520),EDATE(I520,VLOOKUP(D520,Assumptions!$A$10:$B$16,2,0)),"")))</f>
        <v>46295</v>
      </c>
      <c r="M520" s="14">
        <f>IF(ISNUMBER(L520),L520-Assumptions!$B$5,"")</f>
        <v>273</v>
      </c>
      <c r="N520" s="17">
        <f t="shared" si="48"/>
        <v>0</v>
      </c>
      <c r="O520" s="14">
        <f>IF(COUNTIF(Assumptions!$A$25:$A$27,A520)&gt;0,1,0)</f>
        <v>0</v>
      </c>
      <c r="P520" s="14">
        <f>IF(COUNTIF(Assumptions!$B$25:$B$26,A520)&gt;0,1,0)</f>
        <v>0</v>
      </c>
      <c r="Q520" s="14">
        <f>IF(COUNTIF(Assumptions!$C$25:$C$25,A520)&gt;0,1,0)</f>
        <v>0</v>
      </c>
      <c r="R520" s="17">
        <f t="shared" si="49"/>
        <v>0</v>
      </c>
      <c r="S520" s="15" t="str">
        <f>IFERROR(VLOOKUP(A520,Assumptions!$A$31:$B$33,2,0),"")</f>
        <v/>
      </c>
      <c r="T520" s="15">
        <f t="shared" si="50"/>
        <v>40.049999999999997</v>
      </c>
      <c r="U520" s="15">
        <f t="shared" si="51"/>
        <v>56991.149999999994</v>
      </c>
      <c r="V520" s="15">
        <f t="shared" si="52"/>
        <v>56991.149999999994</v>
      </c>
      <c r="W520" s="15">
        <f t="shared" si="53"/>
        <v>0</v>
      </c>
    </row>
    <row r="521" spans="1:23" ht="15" customHeight="1" x14ac:dyDescent="0.2">
      <c r="A521" s="14" t="s">
        <v>2811</v>
      </c>
      <c r="B521" s="14" t="s">
        <v>2812</v>
      </c>
      <c r="C521" s="14" t="s">
        <v>2000</v>
      </c>
      <c r="D521" s="14" t="s">
        <v>45</v>
      </c>
      <c r="E521" s="14" t="s">
        <v>2014</v>
      </c>
      <c r="F521" s="14">
        <v>1029</v>
      </c>
      <c r="G521" s="15">
        <v>330.37</v>
      </c>
      <c r="H521" s="16">
        <v>45984</v>
      </c>
      <c r="I521" s="16">
        <v>46268</v>
      </c>
      <c r="J521" s="16">
        <v>46449</v>
      </c>
      <c r="K521" s="14" t="s">
        <v>2004</v>
      </c>
      <c r="L521" s="16">
        <f>IF(D521="Packaging","",IF(ISNUMBER(J521),J521,IF(ISNUMBER(I521),EDATE(I521,VLOOKUP(D521,Assumptions!$A$10:$B$16,2,0)),"")))</f>
        <v>46449</v>
      </c>
      <c r="M521" s="14">
        <f>IF(ISNUMBER(L521),L521-Assumptions!$B$5,"")</f>
        <v>427</v>
      </c>
      <c r="N521" s="17">
        <f t="shared" si="48"/>
        <v>0</v>
      </c>
      <c r="O521" s="14">
        <f>IF(COUNTIF(Assumptions!$A$25:$A$27,A521)&gt;0,1,0)</f>
        <v>0</v>
      </c>
      <c r="P521" s="14">
        <f>IF(COUNTIF(Assumptions!$B$25:$B$26,A521)&gt;0,1,0)</f>
        <v>0</v>
      </c>
      <c r="Q521" s="14">
        <f>IF(COUNTIF(Assumptions!$C$25:$C$25,A521)&gt;0,1,0)</f>
        <v>0</v>
      </c>
      <c r="R521" s="17">
        <f t="shared" si="49"/>
        <v>0</v>
      </c>
      <c r="S521" s="15" t="str">
        <f>IFERROR(VLOOKUP(A521,Assumptions!$A$31:$B$33,2,0),"")</f>
        <v/>
      </c>
      <c r="T521" s="15">
        <f t="shared" si="50"/>
        <v>330.37</v>
      </c>
      <c r="U521" s="15">
        <f t="shared" si="51"/>
        <v>339950.73</v>
      </c>
      <c r="V521" s="15">
        <f t="shared" si="52"/>
        <v>339950.73</v>
      </c>
      <c r="W521" s="15">
        <f t="shared" si="53"/>
        <v>0</v>
      </c>
    </row>
    <row r="522" spans="1:23" ht="15" customHeight="1" x14ac:dyDescent="0.2">
      <c r="A522" s="14" t="s">
        <v>2813</v>
      </c>
      <c r="B522" s="14" t="s">
        <v>2814</v>
      </c>
      <c r="C522" s="14" t="s">
        <v>1426</v>
      </c>
      <c r="D522" s="14" t="s">
        <v>44</v>
      </c>
      <c r="E522" s="14" t="s">
        <v>2037</v>
      </c>
      <c r="F522" s="14">
        <v>1468</v>
      </c>
      <c r="G522" s="15">
        <v>275.64999999999998</v>
      </c>
      <c r="H522" s="16">
        <v>45978</v>
      </c>
      <c r="I522" s="16">
        <v>45915</v>
      </c>
      <c r="J522" s="16">
        <v>46461</v>
      </c>
      <c r="K522" s="14" t="s">
        <v>2004</v>
      </c>
      <c r="L522" s="16">
        <f>IF(D522="Packaging","",IF(ISNUMBER(J522),J522,IF(ISNUMBER(I522),EDATE(I522,VLOOKUP(D522,Assumptions!$A$10:$B$16,2,0)),"")))</f>
        <v>46461</v>
      </c>
      <c r="M522" s="14">
        <f>IF(ISNUMBER(L522),L522-Assumptions!$B$5,"")</f>
        <v>439</v>
      </c>
      <c r="N522" s="17">
        <f t="shared" si="48"/>
        <v>0</v>
      </c>
      <c r="O522" s="14">
        <f>IF(COUNTIF(Assumptions!$A$25:$A$27,A522)&gt;0,1,0)</f>
        <v>0</v>
      </c>
      <c r="P522" s="14">
        <f>IF(COUNTIF(Assumptions!$B$25:$B$26,A522)&gt;0,1,0)</f>
        <v>0</v>
      </c>
      <c r="Q522" s="14">
        <f>IF(COUNTIF(Assumptions!$C$25:$C$25,A522)&gt;0,1,0)</f>
        <v>0</v>
      </c>
      <c r="R522" s="17">
        <f t="shared" si="49"/>
        <v>0</v>
      </c>
      <c r="S522" s="15" t="str">
        <f>IFERROR(VLOOKUP(A522,Assumptions!$A$31:$B$33,2,0),"")</f>
        <v/>
      </c>
      <c r="T522" s="15">
        <f t="shared" si="50"/>
        <v>275.64999999999998</v>
      </c>
      <c r="U522" s="15">
        <f t="shared" si="51"/>
        <v>404654.19999999995</v>
      </c>
      <c r="V522" s="15">
        <f t="shared" si="52"/>
        <v>404654.19999999995</v>
      </c>
      <c r="W522" s="15">
        <f t="shared" si="53"/>
        <v>0</v>
      </c>
    </row>
    <row r="523" spans="1:23" ht="15" customHeight="1" x14ac:dyDescent="0.2">
      <c r="A523" s="14" t="s">
        <v>652</v>
      </c>
      <c r="B523" s="14" t="s">
        <v>651</v>
      </c>
      <c r="C523" s="14" t="s">
        <v>1435</v>
      </c>
      <c r="D523" s="14" t="s">
        <v>36</v>
      </c>
      <c r="E523" s="14" t="s">
        <v>1988</v>
      </c>
      <c r="F523" s="14">
        <v>2552</v>
      </c>
      <c r="G523" s="15">
        <v>51.6</v>
      </c>
      <c r="H523" s="16">
        <v>45766</v>
      </c>
      <c r="I523" s="16">
        <v>45757</v>
      </c>
      <c r="J523" s="16">
        <v>46487</v>
      </c>
      <c r="K523" s="14" t="s">
        <v>2052</v>
      </c>
      <c r="L523" s="16">
        <f>IF(D523="Packaging","",IF(ISNUMBER(J523),J523,IF(ISNUMBER(I523),EDATE(I523,VLOOKUP(D523,Assumptions!$A$10:$B$16,2,0)),"")))</f>
        <v>46487</v>
      </c>
      <c r="M523" s="14">
        <f>IF(ISNUMBER(L523),L523-Assumptions!$B$5,"")</f>
        <v>465</v>
      </c>
      <c r="N523" s="17">
        <f t="shared" si="48"/>
        <v>0</v>
      </c>
      <c r="O523" s="14">
        <f>IF(COUNTIF(Assumptions!$A$25:$A$27,A523)&gt;0,1,0)</f>
        <v>0</v>
      </c>
      <c r="P523" s="14">
        <f>IF(COUNTIF(Assumptions!$B$25:$B$26,A523)&gt;0,1,0)</f>
        <v>0</v>
      </c>
      <c r="Q523" s="14">
        <f>IF(COUNTIF(Assumptions!$C$25:$C$25,A523)&gt;0,1,0)</f>
        <v>0</v>
      </c>
      <c r="R523" s="17">
        <f t="shared" si="49"/>
        <v>0</v>
      </c>
      <c r="S523" s="15" t="str">
        <f>IFERROR(VLOOKUP(A523,Assumptions!$A$31:$B$33,2,0),"")</f>
        <v/>
      </c>
      <c r="T523" s="15">
        <f t="shared" si="50"/>
        <v>51.6</v>
      </c>
      <c r="U523" s="15">
        <f t="shared" si="51"/>
        <v>131683.20000000001</v>
      </c>
      <c r="V523" s="15">
        <f t="shared" si="52"/>
        <v>131683.20000000001</v>
      </c>
      <c r="W523" s="15">
        <f t="shared" si="53"/>
        <v>0</v>
      </c>
    </row>
    <row r="524" spans="1:23" ht="15" customHeight="1" x14ac:dyDescent="0.2">
      <c r="A524" s="14" t="s">
        <v>1373</v>
      </c>
      <c r="B524" s="14" t="s">
        <v>2815</v>
      </c>
      <c r="C524" s="14" t="s">
        <v>2018</v>
      </c>
      <c r="D524" s="14" t="s">
        <v>36</v>
      </c>
      <c r="E524" s="14" t="s">
        <v>2037</v>
      </c>
      <c r="F524" s="14">
        <v>2419</v>
      </c>
      <c r="G524" s="15">
        <v>377.33</v>
      </c>
      <c r="H524" s="16">
        <v>45304</v>
      </c>
      <c r="I524" s="16">
        <v>45231</v>
      </c>
      <c r="J524" s="16">
        <v>45962</v>
      </c>
      <c r="K524" s="14" t="s">
        <v>2004</v>
      </c>
      <c r="L524" s="16">
        <f>IF(D524="Packaging","",IF(ISNUMBER(J524),J524,IF(ISNUMBER(I524),EDATE(I524,VLOOKUP(D524,Assumptions!$A$10:$B$16,2,0)),"")))</f>
        <v>45962</v>
      </c>
      <c r="M524" s="14">
        <f>IF(ISNUMBER(L524),L524-Assumptions!$B$5,"")</f>
        <v>-60</v>
      </c>
      <c r="N524" s="17">
        <f t="shared" si="48"/>
        <v>1</v>
      </c>
      <c r="O524" s="14">
        <f>IF(COUNTIF(Assumptions!$A$25:$A$27,A524)&gt;0,1,0)</f>
        <v>0</v>
      </c>
      <c r="P524" s="14">
        <f>IF(COUNTIF(Assumptions!$B$25:$B$26,A524)&gt;0,1,0)</f>
        <v>0</v>
      </c>
      <c r="Q524" s="14">
        <f>IF(COUNTIF(Assumptions!$C$25:$C$25,A524)&gt;0,1,0)</f>
        <v>0</v>
      </c>
      <c r="R524" s="17">
        <f t="shared" si="49"/>
        <v>1</v>
      </c>
      <c r="S524" s="15" t="str">
        <f>IFERROR(VLOOKUP(A524,Assumptions!$A$31:$B$33,2,0),"")</f>
        <v/>
      </c>
      <c r="T524" s="15">
        <f t="shared" si="50"/>
        <v>377.33</v>
      </c>
      <c r="U524" s="15">
        <f t="shared" si="51"/>
        <v>912761.27</v>
      </c>
      <c r="V524" s="15">
        <f t="shared" si="52"/>
        <v>0</v>
      </c>
      <c r="W524" s="15">
        <f t="shared" si="53"/>
        <v>912761.27</v>
      </c>
    </row>
    <row r="525" spans="1:23" ht="15" customHeight="1" x14ac:dyDescent="0.2">
      <c r="A525" s="14" t="s">
        <v>2816</v>
      </c>
      <c r="B525" s="14" t="s">
        <v>2817</v>
      </c>
      <c r="C525" s="14" t="s">
        <v>1992</v>
      </c>
      <c r="D525" s="14" t="s">
        <v>45</v>
      </c>
      <c r="E525" s="14" t="s">
        <v>2014</v>
      </c>
      <c r="F525" s="14">
        <v>421</v>
      </c>
      <c r="G525" s="15">
        <v>239.76</v>
      </c>
      <c r="H525" s="16">
        <v>46004</v>
      </c>
      <c r="I525" s="16">
        <v>46609</v>
      </c>
      <c r="J525" s="16">
        <v>46793</v>
      </c>
      <c r="K525" s="14" t="s">
        <v>2021</v>
      </c>
      <c r="L525" s="16">
        <f>IF(D525="Packaging","",IF(ISNUMBER(J525),J525,IF(ISNUMBER(I525),EDATE(I525,VLOOKUP(D525,Assumptions!$A$10:$B$16,2,0)),"")))</f>
        <v>46793</v>
      </c>
      <c r="M525" s="14">
        <f>IF(ISNUMBER(L525),L525-Assumptions!$B$5,"")</f>
        <v>771</v>
      </c>
      <c r="N525" s="17">
        <f t="shared" si="48"/>
        <v>0</v>
      </c>
      <c r="O525" s="14">
        <f>IF(COUNTIF(Assumptions!$A$25:$A$27,A525)&gt;0,1,0)</f>
        <v>0</v>
      </c>
      <c r="P525" s="14">
        <f>IF(COUNTIF(Assumptions!$B$25:$B$26,A525)&gt;0,1,0)</f>
        <v>0</v>
      </c>
      <c r="Q525" s="14">
        <f>IF(COUNTIF(Assumptions!$C$25:$C$25,A525)&gt;0,1,0)</f>
        <v>0</v>
      </c>
      <c r="R525" s="17">
        <f t="shared" si="49"/>
        <v>0</v>
      </c>
      <c r="S525" s="15" t="str">
        <f>IFERROR(VLOOKUP(A525,Assumptions!$A$31:$B$33,2,0),"")</f>
        <v/>
      </c>
      <c r="T525" s="15">
        <f t="shared" si="50"/>
        <v>239.76</v>
      </c>
      <c r="U525" s="15">
        <f t="shared" si="51"/>
        <v>100938.95999999999</v>
      </c>
      <c r="V525" s="15">
        <f t="shared" si="52"/>
        <v>100938.95999999999</v>
      </c>
      <c r="W525" s="15">
        <f t="shared" si="53"/>
        <v>0</v>
      </c>
    </row>
    <row r="526" spans="1:23" ht="15" customHeight="1" x14ac:dyDescent="0.2">
      <c r="A526" s="14" t="s">
        <v>38</v>
      </c>
      <c r="B526" s="14" t="s">
        <v>2818</v>
      </c>
      <c r="C526" s="14" t="s">
        <v>2000</v>
      </c>
      <c r="D526" s="14" t="s">
        <v>45</v>
      </c>
      <c r="E526" s="14" t="s">
        <v>2014</v>
      </c>
      <c r="F526" s="14">
        <v>2154</v>
      </c>
      <c r="G526" s="15">
        <v>126.17</v>
      </c>
      <c r="H526" s="16">
        <v>45859</v>
      </c>
      <c r="I526" s="16"/>
      <c r="J526" s="16"/>
      <c r="K526" s="14" t="s">
        <v>1989</v>
      </c>
      <c r="L526" s="16" t="str">
        <f>IF(D526="Packaging","",IF(ISNUMBER(J526),J526,IF(ISNUMBER(I526),EDATE(I526,VLOOKUP(D526,Assumptions!$A$10:$B$16,2,0)),"")))</f>
        <v/>
      </c>
      <c r="M526" s="14" t="str">
        <f>IF(ISNUMBER(L526),L526-Assumptions!$B$5,"")</f>
        <v/>
      </c>
      <c r="N526" s="17">
        <f t="shared" si="48"/>
        <v>0</v>
      </c>
      <c r="O526" s="14">
        <f>IF(COUNTIF(Assumptions!$A$25:$A$27,A526)&gt;0,1,0)</f>
        <v>0</v>
      </c>
      <c r="P526" s="14">
        <f>IF(COUNTIF(Assumptions!$B$25:$B$26,A526)&gt;0,1,0)</f>
        <v>1</v>
      </c>
      <c r="Q526" s="14">
        <f>IF(COUNTIF(Assumptions!$C$25:$C$25,A526)&gt;0,1,0)</f>
        <v>0</v>
      </c>
      <c r="R526" s="17">
        <f t="shared" si="49"/>
        <v>0.5</v>
      </c>
      <c r="S526" s="15" t="str">
        <f>IFERROR(VLOOKUP(A526,Assumptions!$A$31:$B$33,2,0),"")</f>
        <v/>
      </c>
      <c r="T526" s="15">
        <f t="shared" si="50"/>
        <v>126.17</v>
      </c>
      <c r="U526" s="15">
        <f t="shared" si="51"/>
        <v>271770.18</v>
      </c>
      <c r="V526" s="15">
        <f t="shared" si="52"/>
        <v>135885.09</v>
      </c>
      <c r="W526" s="15">
        <f t="shared" si="53"/>
        <v>135885.09</v>
      </c>
    </row>
    <row r="527" spans="1:23" ht="15" customHeight="1" x14ac:dyDescent="0.2">
      <c r="A527" s="14" t="s">
        <v>2819</v>
      </c>
      <c r="B527" s="14" t="s">
        <v>2820</v>
      </c>
      <c r="C527" s="14" t="s">
        <v>2042</v>
      </c>
      <c r="D527" s="14" t="s">
        <v>47</v>
      </c>
      <c r="E527" s="14" t="s">
        <v>2014</v>
      </c>
      <c r="F527" s="14">
        <v>1375</v>
      </c>
      <c r="G527" s="15">
        <v>168.47</v>
      </c>
      <c r="H527" s="16">
        <v>45959</v>
      </c>
      <c r="I527" s="16">
        <v>45947</v>
      </c>
      <c r="J527" s="16"/>
      <c r="K527" s="14" t="s">
        <v>1989</v>
      </c>
      <c r="L527" s="16" t="str">
        <f>IF(D527="Packaging","",IF(ISNUMBER(J527),J527,IF(ISNUMBER(I527),EDATE(I527,VLOOKUP(D527,Assumptions!$A$10:$B$16,2,0)),"")))</f>
        <v/>
      </c>
      <c r="M527" s="14" t="str">
        <f>IF(ISNUMBER(L527),L527-Assumptions!$B$5,"")</f>
        <v/>
      </c>
      <c r="N527" s="17">
        <f t="shared" si="48"/>
        <v>0</v>
      </c>
      <c r="O527" s="14">
        <f>IF(COUNTIF(Assumptions!$A$25:$A$27,A527)&gt;0,1,0)</f>
        <v>0</v>
      </c>
      <c r="P527" s="14">
        <f>IF(COUNTIF(Assumptions!$B$25:$B$26,A527)&gt;0,1,0)</f>
        <v>0</v>
      </c>
      <c r="Q527" s="14">
        <f>IF(COUNTIF(Assumptions!$C$25:$C$25,A527)&gt;0,1,0)</f>
        <v>0</v>
      </c>
      <c r="R527" s="17">
        <f t="shared" si="49"/>
        <v>0</v>
      </c>
      <c r="S527" s="15" t="str">
        <f>IFERROR(VLOOKUP(A527,Assumptions!$A$31:$B$33,2,0),"")</f>
        <v/>
      </c>
      <c r="T527" s="15">
        <f t="shared" si="50"/>
        <v>168.47</v>
      </c>
      <c r="U527" s="15">
        <f t="shared" si="51"/>
        <v>231646.25</v>
      </c>
      <c r="V527" s="15">
        <f t="shared" si="52"/>
        <v>231646.25</v>
      </c>
      <c r="W527" s="15">
        <f t="shared" si="53"/>
        <v>0</v>
      </c>
    </row>
    <row r="528" spans="1:23" ht="15" customHeight="1" x14ac:dyDescent="0.2">
      <c r="A528" s="14" t="s">
        <v>2821</v>
      </c>
      <c r="B528" s="14" t="s">
        <v>2822</v>
      </c>
      <c r="C528" s="14" t="s">
        <v>2042</v>
      </c>
      <c r="D528" s="14" t="s">
        <v>47</v>
      </c>
      <c r="E528" s="14" t="s">
        <v>2037</v>
      </c>
      <c r="F528" s="14">
        <v>4042</v>
      </c>
      <c r="G528" s="15">
        <v>162.57</v>
      </c>
      <c r="H528" s="16">
        <v>45596</v>
      </c>
      <c r="I528" s="16">
        <v>45561</v>
      </c>
      <c r="J528" s="16"/>
      <c r="K528" s="14" t="s">
        <v>2021</v>
      </c>
      <c r="L528" s="16" t="str">
        <f>IF(D528="Packaging","",IF(ISNUMBER(J528),J528,IF(ISNUMBER(I528),EDATE(I528,VLOOKUP(D528,Assumptions!$A$10:$B$16,2,0)),"")))</f>
        <v/>
      </c>
      <c r="M528" s="14" t="str">
        <f>IF(ISNUMBER(L528),L528-Assumptions!$B$5,"")</f>
        <v/>
      </c>
      <c r="N528" s="17">
        <f t="shared" si="48"/>
        <v>0</v>
      </c>
      <c r="O528" s="14">
        <f>IF(COUNTIF(Assumptions!$A$25:$A$27,A528)&gt;0,1,0)</f>
        <v>0</v>
      </c>
      <c r="P528" s="14">
        <f>IF(COUNTIF(Assumptions!$B$25:$B$26,A528)&gt;0,1,0)</f>
        <v>0</v>
      </c>
      <c r="Q528" s="14">
        <f>IF(COUNTIF(Assumptions!$C$25:$C$25,A528)&gt;0,1,0)</f>
        <v>0</v>
      </c>
      <c r="R528" s="17">
        <f t="shared" si="49"/>
        <v>0</v>
      </c>
      <c r="S528" s="15" t="str">
        <f>IFERROR(VLOOKUP(A528,Assumptions!$A$31:$B$33,2,0),"")</f>
        <v/>
      </c>
      <c r="T528" s="15">
        <f t="shared" si="50"/>
        <v>162.57</v>
      </c>
      <c r="U528" s="15">
        <f t="shared" si="51"/>
        <v>657107.93999999994</v>
      </c>
      <c r="V528" s="15">
        <f t="shared" si="52"/>
        <v>657107.93999999994</v>
      </c>
      <c r="W528" s="15">
        <f t="shared" si="53"/>
        <v>0</v>
      </c>
    </row>
    <row r="529" spans="1:23" ht="15" customHeight="1" x14ac:dyDescent="0.2">
      <c r="A529" s="14" t="s">
        <v>2823</v>
      </c>
      <c r="B529" s="14" t="s">
        <v>2824</v>
      </c>
      <c r="C529" s="14" t="s">
        <v>2089</v>
      </c>
      <c r="D529" s="14" t="s">
        <v>46</v>
      </c>
      <c r="E529" s="14" t="s">
        <v>2037</v>
      </c>
      <c r="F529" s="14">
        <v>1810</v>
      </c>
      <c r="G529" s="15">
        <v>34.130000000000003</v>
      </c>
      <c r="H529" s="16">
        <v>45981</v>
      </c>
      <c r="I529" s="16">
        <v>46437</v>
      </c>
      <c r="J529" s="16"/>
      <c r="K529" s="14" t="s">
        <v>2004</v>
      </c>
      <c r="L529" s="16">
        <f>IF(D529="Packaging","",IF(ISNUMBER(J529),J529,IF(ISNUMBER(I529),EDATE(I529,VLOOKUP(D529,Assumptions!$A$10:$B$16,2,0)),"")))</f>
        <v>46710</v>
      </c>
      <c r="M529" s="14">
        <f>IF(ISNUMBER(L529),L529-Assumptions!$B$5,"")</f>
        <v>688</v>
      </c>
      <c r="N529" s="17">
        <f t="shared" si="48"/>
        <v>0</v>
      </c>
      <c r="O529" s="14">
        <f>IF(COUNTIF(Assumptions!$A$25:$A$27,A529)&gt;0,1,0)</f>
        <v>0</v>
      </c>
      <c r="P529" s="14">
        <f>IF(COUNTIF(Assumptions!$B$25:$B$26,A529)&gt;0,1,0)</f>
        <v>0</v>
      </c>
      <c r="Q529" s="14">
        <f>IF(COUNTIF(Assumptions!$C$25:$C$25,A529)&gt;0,1,0)</f>
        <v>0</v>
      </c>
      <c r="R529" s="17">
        <f t="shared" si="49"/>
        <v>0</v>
      </c>
      <c r="S529" s="15" t="str">
        <f>IFERROR(VLOOKUP(A529,Assumptions!$A$31:$B$33,2,0),"")</f>
        <v/>
      </c>
      <c r="T529" s="15">
        <f t="shared" si="50"/>
        <v>34.130000000000003</v>
      </c>
      <c r="U529" s="15">
        <f t="shared" si="51"/>
        <v>61775.3</v>
      </c>
      <c r="V529" s="15">
        <f t="shared" si="52"/>
        <v>61775.3</v>
      </c>
      <c r="W529" s="15">
        <f t="shared" si="53"/>
        <v>0</v>
      </c>
    </row>
    <row r="530" spans="1:23" ht="15" customHeight="1" x14ac:dyDescent="0.2">
      <c r="A530" s="14" t="s">
        <v>40</v>
      </c>
      <c r="B530" s="14" t="s">
        <v>2825</v>
      </c>
      <c r="C530" s="14" t="s">
        <v>2192</v>
      </c>
      <c r="D530" s="14" t="s">
        <v>39</v>
      </c>
      <c r="E530" s="14" t="s">
        <v>1988</v>
      </c>
      <c r="F530" s="14">
        <v>139</v>
      </c>
      <c r="G530" s="15">
        <v>400.32</v>
      </c>
      <c r="H530" s="16">
        <v>45825</v>
      </c>
      <c r="I530" s="16"/>
      <c r="J530" s="16"/>
      <c r="K530" s="14" t="s">
        <v>1989</v>
      </c>
      <c r="L530" s="16" t="str">
        <f>IF(D530="Packaging","",IF(ISNUMBER(J530),J530,IF(ISNUMBER(I530),EDATE(I530,VLOOKUP(D530,Assumptions!$A$10:$B$16,2,0)),"")))</f>
        <v/>
      </c>
      <c r="M530" s="14" t="str">
        <f>IF(ISNUMBER(L530),L530-Assumptions!$B$5,"")</f>
        <v/>
      </c>
      <c r="N530" s="17">
        <f t="shared" si="48"/>
        <v>0</v>
      </c>
      <c r="O530" s="14">
        <f>IF(COUNTIF(Assumptions!$A$25:$A$27,A530)&gt;0,1,0)</f>
        <v>1</v>
      </c>
      <c r="P530" s="14">
        <f>IF(COUNTIF(Assumptions!$B$25:$B$26,A530)&gt;0,1,0)</f>
        <v>0</v>
      </c>
      <c r="Q530" s="14">
        <f>IF(COUNTIF(Assumptions!$C$25:$C$25,A530)&gt;0,1,0)</f>
        <v>0</v>
      </c>
      <c r="R530" s="17">
        <f t="shared" si="49"/>
        <v>1</v>
      </c>
      <c r="S530" s="15" t="str">
        <f>IFERROR(VLOOKUP(A530,Assumptions!$A$31:$B$33,2,0),"")</f>
        <v/>
      </c>
      <c r="T530" s="15">
        <f t="shared" si="50"/>
        <v>400.32</v>
      </c>
      <c r="U530" s="15">
        <f t="shared" si="51"/>
        <v>55644.479999999996</v>
      </c>
      <c r="V530" s="15">
        <f t="shared" si="52"/>
        <v>0</v>
      </c>
      <c r="W530" s="15">
        <f t="shared" si="53"/>
        <v>55644.479999999996</v>
      </c>
    </row>
    <row r="531" spans="1:23" ht="15" customHeight="1" x14ac:dyDescent="0.2">
      <c r="A531" s="14" t="s">
        <v>2826</v>
      </c>
      <c r="B531" s="14" t="s">
        <v>2827</v>
      </c>
      <c r="C531" s="14" t="s">
        <v>2069</v>
      </c>
      <c r="D531" s="14" t="s">
        <v>47</v>
      </c>
      <c r="E531" s="14" t="s">
        <v>2014</v>
      </c>
      <c r="F531" s="14">
        <v>2077</v>
      </c>
      <c r="G531" s="15">
        <v>355.67</v>
      </c>
      <c r="H531" s="16">
        <v>45876</v>
      </c>
      <c r="I531" s="16">
        <v>45799</v>
      </c>
      <c r="J531" s="16"/>
      <c r="K531" s="14" t="s">
        <v>2030</v>
      </c>
      <c r="L531" s="16" t="str">
        <f>IF(D531="Packaging","",IF(ISNUMBER(J531),J531,IF(ISNUMBER(I531),EDATE(I531,VLOOKUP(D531,Assumptions!$A$10:$B$16,2,0)),"")))</f>
        <v/>
      </c>
      <c r="M531" s="14" t="str">
        <f>IF(ISNUMBER(L531),L531-Assumptions!$B$5,"")</f>
        <v/>
      </c>
      <c r="N531" s="17">
        <f t="shared" si="48"/>
        <v>0</v>
      </c>
      <c r="O531" s="14">
        <f>IF(COUNTIF(Assumptions!$A$25:$A$27,A531)&gt;0,1,0)</f>
        <v>0</v>
      </c>
      <c r="P531" s="14">
        <f>IF(COUNTIF(Assumptions!$B$25:$B$26,A531)&gt;0,1,0)</f>
        <v>0</v>
      </c>
      <c r="Q531" s="14">
        <f>IF(COUNTIF(Assumptions!$C$25:$C$25,A531)&gt;0,1,0)</f>
        <v>0</v>
      </c>
      <c r="R531" s="17">
        <f t="shared" si="49"/>
        <v>0</v>
      </c>
      <c r="S531" s="15" t="str">
        <f>IFERROR(VLOOKUP(A531,Assumptions!$A$31:$B$33,2,0),"")</f>
        <v/>
      </c>
      <c r="T531" s="15">
        <f t="shared" si="50"/>
        <v>355.67</v>
      </c>
      <c r="U531" s="15">
        <f t="shared" si="51"/>
        <v>738726.59000000008</v>
      </c>
      <c r="V531" s="15">
        <f t="shared" si="52"/>
        <v>738726.59000000008</v>
      </c>
      <c r="W531" s="15">
        <f t="shared" si="53"/>
        <v>0</v>
      </c>
    </row>
    <row r="532" spans="1:23" ht="15" customHeight="1" x14ac:dyDescent="0.2">
      <c r="A532" s="14" t="s">
        <v>2828</v>
      </c>
      <c r="B532" s="14" t="s">
        <v>2829</v>
      </c>
      <c r="C532" s="14" t="s">
        <v>1992</v>
      </c>
      <c r="D532" s="14" t="s">
        <v>45</v>
      </c>
      <c r="E532" s="14" t="s">
        <v>2037</v>
      </c>
      <c r="F532" s="14">
        <v>2294</v>
      </c>
      <c r="G532" s="15">
        <v>286.87</v>
      </c>
      <c r="H532" s="16">
        <v>45749</v>
      </c>
      <c r="I532" s="16">
        <v>45691</v>
      </c>
      <c r="J532" s="16">
        <v>45872</v>
      </c>
      <c r="K532" s="14" t="s">
        <v>1994</v>
      </c>
      <c r="L532" s="16">
        <f>IF(D532="Packaging","",IF(ISNUMBER(J532),J532,IF(ISNUMBER(I532),EDATE(I532,VLOOKUP(D532,Assumptions!$A$10:$B$16,2,0)),"")))</f>
        <v>45872</v>
      </c>
      <c r="M532" s="14">
        <f>IF(ISNUMBER(L532),L532-Assumptions!$B$5,"")</f>
        <v>-150</v>
      </c>
      <c r="N532" s="17">
        <f t="shared" si="48"/>
        <v>1</v>
      </c>
      <c r="O532" s="14">
        <f>IF(COUNTIF(Assumptions!$A$25:$A$27,A532)&gt;0,1,0)</f>
        <v>0</v>
      </c>
      <c r="P532" s="14">
        <f>IF(COUNTIF(Assumptions!$B$25:$B$26,A532)&gt;0,1,0)</f>
        <v>0</v>
      </c>
      <c r="Q532" s="14">
        <f>IF(COUNTIF(Assumptions!$C$25:$C$25,A532)&gt;0,1,0)</f>
        <v>0</v>
      </c>
      <c r="R532" s="17">
        <f t="shared" si="49"/>
        <v>1</v>
      </c>
      <c r="S532" s="15" t="str">
        <f>IFERROR(VLOOKUP(A532,Assumptions!$A$31:$B$33,2,0),"")</f>
        <v/>
      </c>
      <c r="T532" s="15">
        <f t="shared" si="50"/>
        <v>286.87</v>
      </c>
      <c r="U532" s="15">
        <f t="shared" si="51"/>
        <v>658079.78</v>
      </c>
      <c r="V532" s="15">
        <f t="shared" si="52"/>
        <v>0</v>
      </c>
      <c r="W532" s="15">
        <f t="shared" si="53"/>
        <v>658079.78</v>
      </c>
    </row>
    <row r="533" spans="1:23" ht="15" customHeight="1" x14ac:dyDescent="0.2">
      <c r="A533" s="14" t="s">
        <v>2830</v>
      </c>
      <c r="B533" s="14" t="s">
        <v>2831</v>
      </c>
      <c r="C533" s="14" t="s">
        <v>2066</v>
      </c>
      <c r="D533" s="14" t="s">
        <v>42</v>
      </c>
      <c r="E533" s="14" t="s">
        <v>2014</v>
      </c>
      <c r="F533" s="14">
        <v>1970</v>
      </c>
      <c r="G533" s="15">
        <v>253.4</v>
      </c>
      <c r="H533" s="16">
        <v>45988</v>
      </c>
      <c r="I533" s="16">
        <v>46141</v>
      </c>
      <c r="J533" s="16">
        <v>46506</v>
      </c>
      <c r="K533" s="14" t="s">
        <v>1989</v>
      </c>
      <c r="L533" s="16">
        <f>IF(D533="Packaging","",IF(ISNUMBER(J533),J533,IF(ISNUMBER(I533),EDATE(I533,VLOOKUP(D533,Assumptions!$A$10:$B$16,2,0)),"")))</f>
        <v>46506</v>
      </c>
      <c r="M533" s="14">
        <f>IF(ISNUMBER(L533),L533-Assumptions!$B$5,"")</f>
        <v>484</v>
      </c>
      <c r="N533" s="17">
        <f t="shared" si="48"/>
        <v>0</v>
      </c>
      <c r="O533" s="14">
        <f>IF(COUNTIF(Assumptions!$A$25:$A$27,A533)&gt;0,1,0)</f>
        <v>0</v>
      </c>
      <c r="P533" s="14">
        <f>IF(COUNTIF(Assumptions!$B$25:$B$26,A533)&gt;0,1,0)</f>
        <v>0</v>
      </c>
      <c r="Q533" s="14">
        <f>IF(COUNTIF(Assumptions!$C$25:$C$25,A533)&gt;0,1,0)</f>
        <v>0</v>
      </c>
      <c r="R533" s="17">
        <f t="shared" si="49"/>
        <v>0</v>
      </c>
      <c r="S533" s="15" t="str">
        <f>IFERROR(VLOOKUP(A533,Assumptions!$A$31:$B$33,2,0),"")</f>
        <v/>
      </c>
      <c r="T533" s="15">
        <f t="shared" si="50"/>
        <v>253.4</v>
      </c>
      <c r="U533" s="15">
        <f t="shared" si="51"/>
        <v>499198</v>
      </c>
      <c r="V533" s="15">
        <f t="shared" si="52"/>
        <v>499198</v>
      </c>
      <c r="W533" s="15">
        <f t="shared" si="53"/>
        <v>0</v>
      </c>
    </row>
    <row r="534" spans="1:23" ht="15" customHeight="1" x14ac:dyDescent="0.2">
      <c r="A534" s="14" t="s">
        <v>2832</v>
      </c>
      <c r="B534" s="14" t="s">
        <v>2833</v>
      </c>
      <c r="C534" s="14" t="s">
        <v>2101</v>
      </c>
      <c r="D534" s="14" t="s">
        <v>46</v>
      </c>
      <c r="E534" s="14" t="s">
        <v>2014</v>
      </c>
      <c r="F534" s="14">
        <v>2814</v>
      </c>
      <c r="G534" s="15">
        <v>364.41</v>
      </c>
      <c r="H534" s="16">
        <v>45993</v>
      </c>
      <c r="I534" s="16">
        <v>46309</v>
      </c>
      <c r="J534" s="16">
        <v>46582</v>
      </c>
      <c r="K534" s="14" t="s">
        <v>2052</v>
      </c>
      <c r="L534" s="16">
        <f>IF(D534="Packaging","",IF(ISNUMBER(J534),J534,IF(ISNUMBER(I534),EDATE(I534,VLOOKUP(D534,Assumptions!$A$10:$B$16,2,0)),"")))</f>
        <v>46582</v>
      </c>
      <c r="M534" s="14">
        <f>IF(ISNUMBER(L534),L534-Assumptions!$B$5,"")</f>
        <v>560</v>
      </c>
      <c r="N534" s="17">
        <f t="shared" si="48"/>
        <v>0</v>
      </c>
      <c r="O534" s="14">
        <f>IF(COUNTIF(Assumptions!$A$25:$A$27,A534)&gt;0,1,0)</f>
        <v>0</v>
      </c>
      <c r="P534" s="14">
        <f>IF(COUNTIF(Assumptions!$B$25:$B$26,A534)&gt;0,1,0)</f>
        <v>0</v>
      </c>
      <c r="Q534" s="14">
        <f>IF(COUNTIF(Assumptions!$C$25:$C$25,A534)&gt;0,1,0)</f>
        <v>0</v>
      </c>
      <c r="R534" s="17">
        <f t="shared" si="49"/>
        <v>0</v>
      </c>
      <c r="S534" s="15" t="str">
        <f>IFERROR(VLOOKUP(A534,Assumptions!$A$31:$B$33,2,0),"")</f>
        <v/>
      </c>
      <c r="T534" s="15">
        <f t="shared" si="50"/>
        <v>364.41</v>
      </c>
      <c r="U534" s="15">
        <f t="shared" si="51"/>
        <v>1025449.7400000001</v>
      </c>
      <c r="V534" s="15">
        <f t="shared" si="52"/>
        <v>1025449.7400000001</v>
      </c>
      <c r="W534" s="15">
        <f t="shared" si="53"/>
        <v>0</v>
      </c>
    </row>
    <row r="535" spans="1:23" ht="15" customHeight="1" x14ac:dyDescent="0.2">
      <c r="A535" s="14" t="s">
        <v>2834</v>
      </c>
      <c r="B535" s="14" t="s">
        <v>2835</v>
      </c>
      <c r="C535" s="14" t="s">
        <v>2033</v>
      </c>
      <c r="D535" s="14" t="s">
        <v>47</v>
      </c>
      <c r="E535" s="14" t="s">
        <v>1988</v>
      </c>
      <c r="F535" s="14">
        <v>2319</v>
      </c>
      <c r="G535" s="15">
        <v>57.1</v>
      </c>
      <c r="H535" s="16">
        <v>45569</v>
      </c>
      <c r="I535" s="16">
        <v>45488</v>
      </c>
      <c r="J535" s="16"/>
      <c r="K535" s="14" t="s">
        <v>2015</v>
      </c>
      <c r="L535" s="16" t="str">
        <f>IF(D535="Packaging","",IF(ISNUMBER(J535),J535,IF(ISNUMBER(I535),EDATE(I535,VLOOKUP(D535,Assumptions!$A$10:$B$16,2,0)),"")))</f>
        <v/>
      </c>
      <c r="M535" s="14" t="str">
        <f>IF(ISNUMBER(L535),L535-Assumptions!$B$5,"")</f>
        <v/>
      </c>
      <c r="N535" s="17">
        <f t="shared" si="48"/>
        <v>0</v>
      </c>
      <c r="O535" s="14">
        <f>IF(COUNTIF(Assumptions!$A$25:$A$27,A535)&gt;0,1,0)</f>
        <v>0</v>
      </c>
      <c r="P535" s="14">
        <f>IF(COUNTIF(Assumptions!$B$25:$B$26,A535)&gt;0,1,0)</f>
        <v>0</v>
      </c>
      <c r="Q535" s="14">
        <f>IF(COUNTIF(Assumptions!$C$25:$C$25,A535)&gt;0,1,0)</f>
        <v>0</v>
      </c>
      <c r="R535" s="17">
        <f t="shared" si="49"/>
        <v>0</v>
      </c>
      <c r="S535" s="15" t="str">
        <f>IFERROR(VLOOKUP(A535,Assumptions!$A$31:$B$33,2,0),"")</f>
        <v/>
      </c>
      <c r="T535" s="15">
        <f t="shared" si="50"/>
        <v>57.1</v>
      </c>
      <c r="U535" s="15">
        <f t="shared" si="51"/>
        <v>132414.9</v>
      </c>
      <c r="V535" s="15">
        <f t="shared" si="52"/>
        <v>132414.9</v>
      </c>
      <c r="W535" s="15">
        <f t="shared" si="53"/>
        <v>0</v>
      </c>
    </row>
    <row r="536" spans="1:23" ht="15" customHeight="1" x14ac:dyDescent="0.2">
      <c r="A536" s="14" t="s">
        <v>2836</v>
      </c>
      <c r="B536" s="14" t="s">
        <v>2837</v>
      </c>
      <c r="C536" s="14" t="s">
        <v>2159</v>
      </c>
      <c r="D536" s="14" t="s">
        <v>46</v>
      </c>
      <c r="E536" s="14" t="s">
        <v>2014</v>
      </c>
      <c r="F536" s="14">
        <v>91</v>
      </c>
      <c r="G536" s="15">
        <v>255.03</v>
      </c>
      <c r="H536" s="16">
        <v>46017</v>
      </c>
      <c r="I536" s="16">
        <v>46187</v>
      </c>
      <c r="J536" s="16"/>
      <c r="K536" s="14" t="s">
        <v>1994</v>
      </c>
      <c r="L536" s="16">
        <f>IF(D536="Packaging","",IF(ISNUMBER(J536),J536,IF(ISNUMBER(I536),EDATE(I536,VLOOKUP(D536,Assumptions!$A$10:$B$16,2,0)),"")))</f>
        <v>46460</v>
      </c>
      <c r="M536" s="14">
        <f>IF(ISNUMBER(L536),L536-Assumptions!$B$5,"")</f>
        <v>438</v>
      </c>
      <c r="N536" s="17">
        <f t="shared" si="48"/>
        <v>0</v>
      </c>
      <c r="O536" s="14">
        <f>IF(COUNTIF(Assumptions!$A$25:$A$27,A536)&gt;0,1,0)</f>
        <v>0</v>
      </c>
      <c r="P536" s="14">
        <f>IF(COUNTIF(Assumptions!$B$25:$B$26,A536)&gt;0,1,0)</f>
        <v>0</v>
      </c>
      <c r="Q536" s="14">
        <f>IF(COUNTIF(Assumptions!$C$25:$C$25,A536)&gt;0,1,0)</f>
        <v>0</v>
      </c>
      <c r="R536" s="17">
        <f t="shared" si="49"/>
        <v>0</v>
      </c>
      <c r="S536" s="15" t="str">
        <f>IFERROR(VLOOKUP(A536,Assumptions!$A$31:$B$33,2,0),"")</f>
        <v/>
      </c>
      <c r="T536" s="15">
        <f t="shared" si="50"/>
        <v>255.03</v>
      </c>
      <c r="U536" s="15">
        <f t="shared" si="51"/>
        <v>23207.73</v>
      </c>
      <c r="V536" s="15">
        <f t="shared" si="52"/>
        <v>23207.73</v>
      </c>
      <c r="W536" s="15">
        <f t="shared" si="53"/>
        <v>0</v>
      </c>
    </row>
    <row r="537" spans="1:23" ht="15" customHeight="1" x14ac:dyDescent="0.2">
      <c r="A537" s="14" t="s">
        <v>2838</v>
      </c>
      <c r="B537" s="14" t="s">
        <v>2839</v>
      </c>
      <c r="C537" s="14" t="s">
        <v>2007</v>
      </c>
      <c r="D537" s="14" t="s">
        <v>47</v>
      </c>
      <c r="E537" s="14" t="s">
        <v>1988</v>
      </c>
      <c r="F537" s="14">
        <v>107</v>
      </c>
      <c r="G537" s="15">
        <v>261.11</v>
      </c>
      <c r="H537" s="16">
        <v>45518</v>
      </c>
      <c r="I537" s="16">
        <v>45497</v>
      </c>
      <c r="J537" s="16"/>
      <c r="K537" s="14" t="s">
        <v>2030</v>
      </c>
      <c r="L537" s="16" t="str">
        <f>IF(D537="Packaging","",IF(ISNUMBER(J537),J537,IF(ISNUMBER(I537),EDATE(I537,VLOOKUP(D537,Assumptions!$A$10:$B$16,2,0)),"")))</f>
        <v/>
      </c>
      <c r="M537" s="14" t="str">
        <f>IF(ISNUMBER(L537),L537-Assumptions!$B$5,"")</f>
        <v/>
      </c>
      <c r="N537" s="17">
        <f t="shared" si="48"/>
        <v>0</v>
      </c>
      <c r="O537" s="14">
        <f>IF(COUNTIF(Assumptions!$A$25:$A$27,A537)&gt;0,1,0)</f>
        <v>0</v>
      </c>
      <c r="P537" s="14">
        <f>IF(COUNTIF(Assumptions!$B$25:$B$26,A537)&gt;0,1,0)</f>
        <v>0</v>
      </c>
      <c r="Q537" s="14">
        <f>IF(COUNTIF(Assumptions!$C$25:$C$25,A537)&gt;0,1,0)</f>
        <v>0</v>
      </c>
      <c r="R537" s="17">
        <f t="shared" si="49"/>
        <v>0</v>
      </c>
      <c r="S537" s="15" t="str">
        <f>IFERROR(VLOOKUP(A537,Assumptions!$A$31:$B$33,2,0),"")</f>
        <v/>
      </c>
      <c r="T537" s="15">
        <f t="shared" si="50"/>
        <v>261.11</v>
      </c>
      <c r="U537" s="15">
        <f t="shared" si="51"/>
        <v>27938.77</v>
      </c>
      <c r="V537" s="15">
        <f t="shared" si="52"/>
        <v>27938.77</v>
      </c>
      <c r="W537" s="15">
        <f t="shared" si="53"/>
        <v>0</v>
      </c>
    </row>
    <row r="538" spans="1:23" ht="15" customHeight="1" x14ac:dyDescent="0.2">
      <c r="A538" s="14" t="s">
        <v>2840</v>
      </c>
      <c r="B538" s="14" t="s">
        <v>2841</v>
      </c>
      <c r="C538" s="14" t="s">
        <v>1992</v>
      </c>
      <c r="D538" s="14" t="s">
        <v>45</v>
      </c>
      <c r="E538" s="14" t="s">
        <v>2014</v>
      </c>
      <c r="F538" s="14">
        <v>3360</v>
      </c>
      <c r="G538" s="15">
        <v>243.75</v>
      </c>
      <c r="H538" s="16">
        <v>45983</v>
      </c>
      <c r="I538" s="16">
        <v>46103</v>
      </c>
      <c r="J538" s="16">
        <v>46287</v>
      </c>
      <c r="K538" s="14" t="s">
        <v>1994</v>
      </c>
      <c r="L538" s="16">
        <f>IF(D538="Packaging","",IF(ISNUMBER(J538),J538,IF(ISNUMBER(I538),EDATE(I538,VLOOKUP(D538,Assumptions!$A$10:$B$16,2,0)),"")))</f>
        <v>46287</v>
      </c>
      <c r="M538" s="14">
        <f>IF(ISNUMBER(L538),L538-Assumptions!$B$5,"")</f>
        <v>265</v>
      </c>
      <c r="N538" s="17">
        <f t="shared" si="48"/>
        <v>0</v>
      </c>
      <c r="O538" s="14">
        <f>IF(COUNTIF(Assumptions!$A$25:$A$27,A538)&gt;0,1,0)</f>
        <v>0</v>
      </c>
      <c r="P538" s="14">
        <f>IF(COUNTIF(Assumptions!$B$25:$B$26,A538)&gt;0,1,0)</f>
        <v>0</v>
      </c>
      <c r="Q538" s="14">
        <f>IF(COUNTIF(Assumptions!$C$25:$C$25,A538)&gt;0,1,0)</f>
        <v>0</v>
      </c>
      <c r="R538" s="17">
        <f t="shared" si="49"/>
        <v>0</v>
      </c>
      <c r="S538" s="15" t="str">
        <f>IFERROR(VLOOKUP(A538,Assumptions!$A$31:$B$33,2,0),"")</f>
        <v/>
      </c>
      <c r="T538" s="15">
        <f t="shared" si="50"/>
        <v>243.75</v>
      </c>
      <c r="U538" s="15">
        <f t="shared" si="51"/>
        <v>819000</v>
      </c>
      <c r="V538" s="15">
        <f t="shared" si="52"/>
        <v>819000</v>
      </c>
      <c r="W538" s="15">
        <f t="shared" si="53"/>
        <v>0</v>
      </c>
    </row>
    <row r="539" spans="1:23" ht="15" customHeight="1" x14ac:dyDescent="0.2">
      <c r="A539" s="14" t="s">
        <v>2842</v>
      </c>
      <c r="B539" s="14" t="s">
        <v>2843</v>
      </c>
      <c r="C539" s="14" t="s">
        <v>2069</v>
      </c>
      <c r="D539" s="14" t="s">
        <v>47</v>
      </c>
      <c r="E539" s="14" t="s">
        <v>2014</v>
      </c>
      <c r="F539" s="14">
        <v>3457</v>
      </c>
      <c r="G539" s="15">
        <v>3.67</v>
      </c>
      <c r="H539" s="16">
        <v>45867</v>
      </c>
      <c r="I539" s="16">
        <v>45788</v>
      </c>
      <c r="J539" s="16"/>
      <c r="K539" s="14" t="s">
        <v>2015</v>
      </c>
      <c r="L539" s="16" t="str">
        <f>IF(D539="Packaging","",IF(ISNUMBER(J539),J539,IF(ISNUMBER(I539),EDATE(I539,VLOOKUP(D539,Assumptions!$A$10:$B$16,2,0)),"")))</f>
        <v/>
      </c>
      <c r="M539" s="14" t="str">
        <f>IF(ISNUMBER(L539),L539-Assumptions!$B$5,"")</f>
        <v/>
      </c>
      <c r="N539" s="17">
        <f t="shared" si="48"/>
        <v>0</v>
      </c>
      <c r="O539" s="14">
        <f>IF(COUNTIF(Assumptions!$A$25:$A$27,A539)&gt;0,1,0)</f>
        <v>0</v>
      </c>
      <c r="P539" s="14">
        <f>IF(COUNTIF(Assumptions!$B$25:$B$26,A539)&gt;0,1,0)</f>
        <v>0</v>
      </c>
      <c r="Q539" s="14">
        <f>IF(COUNTIF(Assumptions!$C$25:$C$25,A539)&gt;0,1,0)</f>
        <v>0</v>
      </c>
      <c r="R539" s="17">
        <f t="shared" si="49"/>
        <v>0</v>
      </c>
      <c r="S539" s="15" t="str">
        <f>IFERROR(VLOOKUP(A539,Assumptions!$A$31:$B$33,2,0),"")</f>
        <v/>
      </c>
      <c r="T539" s="15">
        <f t="shared" si="50"/>
        <v>3.67</v>
      </c>
      <c r="U539" s="15">
        <f t="shared" si="51"/>
        <v>12687.19</v>
      </c>
      <c r="V539" s="15">
        <f t="shared" si="52"/>
        <v>12687.19</v>
      </c>
      <c r="W539" s="15">
        <f t="shared" si="53"/>
        <v>0</v>
      </c>
    </row>
    <row r="540" spans="1:23" ht="15" customHeight="1" x14ac:dyDescent="0.2">
      <c r="A540" s="14" t="s">
        <v>2844</v>
      </c>
      <c r="B540" s="14" t="s">
        <v>2845</v>
      </c>
      <c r="C540" s="14" t="s">
        <v>2104</v>
      </c>
      <c r="D540" s="14" t="s">
        <v>36</v>
      </c>
      <c r="E540" s="14" t="s">
        <v>1993</v>
      </c>
      <c r="F540" s="14">
        <v>3578</v>
      </c>
      <c r="G540" s="15">
        <v>368.53</v>
      </c>
      <c r="H540" s="16">
        <v>45969</v>
      </c>
      <c r="I540" s="16">
        <v>46069</v>
      </c>
      <c r="J540" s="16"/>
      <c r="K540" s="14" t="s">
        <v>2030</v>
      </c>
      <c r="L540" s="16">
        <f>IF(D540="Packaging","",IF(ISNUMBER(J540),J540,IF(ISNUMBER(I540),EDATE(I540,VLOOKUP(D540,Assumptions!$A$10:$B$16,2,0)),"")))</f>
        <v>46799</v>
      </c>
      <c r="M540" s="14">
        <f>IF(ISNUMBER(L540),L540-Assumptions!$B$5,"")</f>
        <v>777</v>
      </c>
      <c r="N540" s="17">
        <f t="shared" si="48"/>
        <v>0</v>
      </c>
      <c r="O540" s="14">
        <f>IF(COUNTIF(Assumptions!$A$25:$A$27,A540)&gt;0,1,0)</f>
        <v>0</v>
      </c>
      <c r="P540" s="14">
        <f>IF(COUNTIF(Assumptions!$B$25:$B$26,A540)&gt;0,1,0)</f>
        <v>0</v>
      </c>
      <c r="Q540" s="14">
        <f>IF(COUNTIF(Assumptions!$C$25:$C$25,A540)&gt;0,1,0)</f>
        <v>0</v>
      </c>
      <c r="R540" s="17">
        <f t="shared" si="49"/>
        <v>0</v>
      </c>
      <c r="S540" s="15" t="str">
        <f>IFERROR(VLOOKUP(A540,Assumptions!$A$31:$B$33,2,0),"")</f>
        <v/>
      </c>
      <c r="T540" s="15">
        <f t="shared" si="50"/>
        <v>368.53</v>
      </c>
      <c r="U540" s="15">
        <f t="shared" si="51"/>
        <v>1318600.3399999999</v>
      </c>
      <c r="V540" s="15">
        <f t="shared" si="52"/>
        <v>1318600.3399999999</v>
      </c>
      <c r="W540" s="15">
        <f t="shared" si="53"/>
        <v>0</v>
      </c>
    </row>
    <row r="541" spans="1:23" ht="15" customHeight="1" x14ac:dyDescent="0.2">
      <c r="A541" s="14" t="s">
        <v>658</v>
      </c>
      <c r="B541" s="14" t="s">
        <v>657</v>
      </c>
      <c r="C541" s="14" t="s">
        <v>2137</v>
      </c>
      <c r="D541" s="14" t="s">
        <v>36</v>
      </c>
      <c r="E541" s="14" t="s">
        <v>1988</v>
      </c>
      <c r="F541" s="14">
        <v>3340</v>
      </c>
      <c r="G541" s="15">
        <v>181.42</v>
      </c>
      <c r="H541" s="16">
        <v>45923</v>
      </c>
      <c r="I541" s="16">
        <v>45870</v>
      </c>
      <c r="J541" s="16"/>
      <c r="K541" s="14" t="s">
        <v>1994</v>
      </c>
      <c r="L541" s="16">
        <f>IF(D541="Packaging","",IF(ISNUMBER(J541),J541,IF(ISNUMBER(I541),EDATE(I541,VLOOKUP(D541,Assumptions!$A$10:$B$16,2,0)),"")))</f>
        <v>46600</v>
      </c>
      <c r="M541" s="14">
        <f>IF(ISNUMBER(L541),L541-Assumptions!$B$5,"")</f>
        <v>578</v>
      </c>
      <c r="N541" s="17">
        <f t="shared" si="48"/>
        <v>0</v>
      </c>
      <c r="O541" s="14">
        <f>IF(COUNTIF(Assumptions!$A$25:$A$27,A541)&gt;0,1,0)</f>
        <v>0</v>
      </c>
      <c r="P541" s="14">
        <f>IF(COUNTIF(Assumptions!$B$25:$B$26,A541)&gt;0,1,0)</f>
        <v>0</v>
      </c>
      <c r="Q541" s="14">
        <f>IF(COUNTIF(Assumptions!$C$25:$C$25,A541)&gt;0,1,0)</f>
        <v>0</v>
      </c>
      <c r="R541" s="17">
        <f t="shared" si="49"/>
        <v>0</v>
      </c>
      <c r="S541" s="15" t="str">
        <f>IFERROR(VLOOKUP(A541,Assumptions!$A$31:$B$33,2,0),"")</f>
        <v/>
      </c>
      <c r="T541" s="15">
        <f t="shared" si="50"/>
        <v>181.42</v>
      </c>
      <c r="U541" s="15">
        <f t="shared" si="51"/>
        <v>605942.79999999993</v>
      </c>
      <c r="V541" s="15">
        <f t="shared" si="52"/>
        <v>605942.79999999993</v>
      </c>
      <c r="W541" s="15">
        <f t="shared" si="53"/>
        <v>0</v>
      </c>
    </row>
    <row r="542" spans="1:23" ht="15" customHeight="1" x14ac:dyDescent="0.2">
      <c r="A542" s="14" t="s">
        <v>2846</v>
      </c>
      <c r="B542" s="14" t="s">
        <v>2847</v>
      </c>
      <c r="C542" s="14" t="s">
        <v>2142</v>
      </c>
      <c r="D542" s="14" t="s">
        <v>44</v>
      </c>
      <c r="E542" s="14" t="s">
        <v>1988</v>
      </c>
      <c r="F542" s="14">
        <v>1376</v>
      </c>
      <c r="G542" s="15">
        <v>86.46</v>
      </c>
      <c r="H542" s="16">
        <v>46016</v>
      </c>
      <c r="I542" s="16">
        <v>46119</v>
      </c>
      <c r="J542" s="16">
        <v>46667</v>
      </c>
      <c r="K542" s="14" t="s">
        <v>1994</v>
      </c>
      <c r="L542" s="16">
        <f>IF(D542="Packaging","",IF(ISNUMBER(J542),J542,IF(ISNUMBER(I542),EDATE(I542,VLOOKUP(D542,Assumptions!$A$10:$B$16,2,0)),"")))</f>
        <v>46667</v>
      </c>
      <c r="M542" s="14">
        <f>IF(ISNUMBER(L542),L542-Assumptions!$B$5,"")</f>
        <v>645</v>
      </c>
      <c r="N542" s="17">
        <f t="shared" si="48"/>
        <v>0</v>
      </c>
      <c r="O542" s="14">
        <f>IF(COUNTIF(Assumptions!$A$25:$A$27,A542)&gt;0,1,0)</f>
        <v>0</v>
      </c>
      <c r="P542" s="14">
        <f>IF(COUNTIF(Assumptions!$B$25:$B$26,A542)&gt;0,1,0)</f>
        <v>0</v>
      </c>
      <c r="Q542" s="14">
        <f>IF(COUNTIF(Assumptions!$C$25:$C$25,A542)&gt;0,1,0)</f>
        <v>0</v>
      </c>
      <c r="R542" s="17">
        <f t="shared" si="49"/>
        <v>0</v>
      </c>
      <c r="S542" s="15" t="str">
        <f>IFERROR(VLOOKUP(A542,Assumptions!$A$31:$B$33,2,0),"")</f>
        <v/>
      </c>
      <c r="T542" s="15">
        <f t="shared" si="50"/>
        <v>86.46</v>
      </c>
      <c r="U542" s="15">
        <f t="shared" si="51"/>
        <v>118968.95999999999</v>
      </c>
      <c r="V542" s="15">
        <f t="shared" si="52"/>
        <v>118968.95999999999</v>
      </c>
      <c r="W542" s="15">
        <f t="shared" si="53"/>
        <v>0</v>
      </c>
    </row>
    <row r="543" spans="1:23" ht="15" customHeight="1" x14ac:dyDescent="0.2">
      <c r="A543" s="14" t="s">
        <v>303</v>
      </c>
      <c r="B543" s="14" t="s">
        <v>302</v>
      </c>
      <c r="C543" s="14" t="s">
        <v>2013</v>
      </c>
      <c r="D543" s="14" t="s">
        <v>44</v>
      </c>
      <c r="E543" s="14" t="s">
        <v>2014</v>
      </c>
      <c r="F543" s="14">
        <v>2242</v>
      </c>
      <c r="G543" s="15">
        <v>412.54</v>
      </c>
      <c r="H543" s="16">
        <v>45916</v>
      </c>
      <c r="I543" s="16">
        <v>45856</v>
      </c>
      <c r="J543" s="16"/>
      <c r="K543" s="14" t="s">
        <v>2015</v>
      </c>
      <c r="L543" s="16">
        <f>IF(D543="Packaging","",IF(ISNUMBER(J543),J543,IF(ISNUMBER(I543),EDATE(I543,VLOOKUP(D543,Assumptions!$A$10:$B$16,2,0)),"")))</f>
        <v>46405</v>
      </c>
      <c r="M543" s="14">
        <f>IF(ISNUMBER(L543),L543-Assumptions!$B$5,"")</f>
        <v>383</v>
      </c>
      <c r="N543" s="17">
        <f t="shared" si="48"/>
        <v>0</v>
      </c>
      <c r="O543" s="14">
        <f>IF(COUNTIF(Assumptions!$A$25:$A$27,A543)&gt;0,1,0)</f>
        <v>0</v>
      </c>
      <c r="P543" s="14">
        <f>IF(COUNTIF(Assumptions!$B$25:$B$26,A543)&gt;0,1,0)</f>
        <v>0</v>
      </c>
      <c r="Q543" s="14">
        <f>IF(COUNTIF(Assumptions!$C$25:$C$25,A543)&gt;0,1,0)</f>
        <v>0</v>
      </c>
      <c r="R543" s="17">
        <f t="shared" si="49"/>
        <v>0</v>
      </c>
      <c r="S543" s="15" t="str">
        <f>IFERROR(VLOOKUP(A543,Assumptions!$A$31:$B$33,2,0),"")</f>
        <v/>
      </c>
      <c r="T543" s="15">
        <f t="shared" si="50"/>
        <v>412.54</v>
      </c>
      <c r="U543" s="15">
        <f t="shared" si="51"/>
        <v>924914.68</v>
      </c>
      <c r="V543" s="15">
        <f t="shared" si="52"/>
        <v>924914.68</v>
      </c>
      <c r="W543" s="15">
        <f t="shared" si="53"/>
        <v>0</v>
      </c>
    </row>
    <row r="544" spans="1:23" ht="15" customHeight="1" x14ac:dyDescent="0.2">
      <c r="A544" s="14" t="s">
        <v>2848</v>
      </c>
      <c r="B544" s="14" t="s">
        <v>2849</v>
      </c>
      <c r="C544" s="14" t="s">
        <v>2192</v>
      </c>
      <c r="D544" s="14" t="s">
        <v>39</v>
      </c>
      <c r="E544" s="14" t="s">
        <v>1988</v>
      </c>
      <c r="F544" s="14">
        <v>3103</v>
      </c>
      <c r="G544" s="15">
        <v>63.13</v>
      </c>
      <c r="H544" s="16">
        <v>45675</v>
      </c>
      <c r="I544" s="16">
        <v>45635</v>
      </c>
      <c r="J544" s="16">
        <v>46730</v>
      </c>
      <c r="K544" s="14" t="s">
        <v>2021</v>
      </c>
      <c r="L544" s="16">
        <f>IF(D544="Packaging","",IF(ISNUMBER(J544),J544,IF(ISNUMBER(I544),EDATE(I544,VLOOKUP(D544,Assumptions!$A$10:$B$16,2,0)),"")))</f>
        <v>46730</v>
      </c>
      <c r="M544" s="14">
        <f>IF(ISNUMBER(L544),L544-Assumptions!$B$5,"")</f>
        <v>708</v>
      </c>
      <c r="N544" s="17">
        <f t="shared" si="48"/>
        <v>0</v>
      </c>
      <c r="O544" s="14">
        <f>IF(COUNTIF(Assumptions!$A$25:$A$27,A544)&gt;0,1,0)</f>
        <v>0</v>
      </c>
      <c r="P544" s="14">
        <f>IF(COUNTIF(Assumptions!$B$25:$B$26,A544)&gt;0,1,0)</f>
        <v>0</v>
      </c>
      <c r="Q544" s="14">
        <f>IF(COUNTIF(Assumptions!$C$25:$C$25,A544)&gt;0,1,0)</f>
        <v>0</v>
      </c>
      <c r="R544" s="17">
        <f t="shared" si="49"/>
        <v>0</v>
      </c>
      <c r="S544" s="15" t="str">
        <f>IFERROR(VLOOKUP(A544,Assumptions!$A$31:$B$33,2,0),"")</f>
        <v/>
      </c>
      <c r="T544" s="15">
        <f t="shared" si="50"/>
        <v>63.13</v>
      </c>
      <c r="U544" s="15">
        <f t="shared" si="51"/>
        <v>195892.39</v>
      </c>
      <c r="V544" s="15">
        <f t="shared" si="52"/>
        <v>195892.39</v>
      </c>
      <c r="W544" s="15">
        <f t="shared" si="53"/>
        <v>0</v>
      </c>
    </row>
    <row r="545" spans="1:23" ht="15" customHeight="1" x14ac:dyDescent="0.2">
      <c r="A545" s="14" t="s">
        <v>320</v>
      </c>
      <c r="B545" s="14" t="s">
        <v>319</v>
      </c>
      <c r="C545" s="14" t="s">
        <v>2142</v>
      </c>
      <c r="D545" s="14" t="s">
        <v>44</v>
      </c>
      <c r="E545" s="14" t="s">
        <v>2037</v>
      </c>
      <c r="F545" s="14">
        <v>295</v>
      </c>
      <c r="G545" s="15">
        <v>231.42</v>
      </c>
      <c r="H545" s="16">
        <v>45805</v>
      </c>
      <c r="I545" s="16">
        <v>45798</v>
      </c>
      <c r="J545" s="16">
        <v>46347</v>
      </c>
      <c r="K545" s="14" t="s">
        <v>2004</v>
      </c>
      <c r="L545" s="16">
        <f>IF(D545="Packaging","",IF(ISNUMBER(J545),J545,IF(ISNUMBER(I545),EDATE(I545,VLOOKUP(D545,Assumptions!$A$10:$B$16,2,0)),"")))</f>
        <v>46347</v>
      </c>
      <c r="M545" s="14">
        <f>IF(ISNUMBER(L545),L545-Assumptions!$B$5,"")</f>
        <v>325</v>
      </c>
      <c r="N545" s="17">
        <f t="shared" si="48"/>
        <v>0</v>
      </c>
      <c r="O545" s="14">
        <f>IF(COUNTIF(Assumptions!$A$25:$A$27,A545)&gt;0,1,0)</f>
        <v>0</v>
      </c>
      <c r="P545" s="14">
        <f>IF(COUNTIF(Assumptions!$B$25:$B$26,A545)&gt;0,1,0)</f>
        <v>0</v>
      </c>
      <c r="Q545" s="14">
        <f>IF(COUNTIF(Assumptions!$C$25:$C$25,A545)&gt;0,1,0)</f>
        <v>0</v>
      </c>
      <c r="R545" s="17">
        <f t="shared" si="49"/>
        <v>0</v>
      </c>
      <c r="S545" s="15" t="str">
        <f>IFERROR(VLOOKUP(A545,Assumptions!$A$31:$B$33,2,0),"")</f>
        <v/>
      </c>
      <c r="T545" s="15">
        <f t="shared" si="50"/>
        <v>231.42</v>
      </c>
      <c r="U545" s="15">
        <f t="shared" si="51"/>
        <v>68268.899999999994</v>
      </c>
      <c r="V545" s="15">
        <f t="shared" si="52"/>
        <v>68268.899999999994</v>
      </c>
      <c r="W545" s="15">
        <f t="shared" si="53"/>
        <v>0</v>
      </c>
    </row>
    <row r="546" spans="1:23" ht="15" customHeight="1" x14ac:dyDescent="0.2">
      <c r="A546" s="14" t="s">
        <v>2850</v>
      </c>
      <c r="B546" s="14" t="s">
        <v>2851</v>
      </c>
      <c r="C546" s="14" t="s">
        <v>2107</v>
      </c>
      <c r="D546" s="14" t="s">
        <v>42</v>
      </c>
      <c r="E546" s="14" t="s">
        <v>1988</v>
      </c>
      <c r="F546" s="14">
        <v>4775</v>
      </c>
      <c r="G546" s="15">
        <v>68.89</v>
      </c>
      <c r="H546" s="16">
        <v>46004</v>
      </c>
      <c r="I546" s="16">
        <v>46315</v>
      </c>
      <c r="J546" s="16"/>
      <c r="K546" s="14" t="s">
        <v>2021</v>
      </c>
      <c r="L546" s="16">
        <f>IF(D546="Packaging","",IF(ISNUMBER(J546),J546,IF(ISNUMBER(I546),EDATE(I546,VLOOKUP(D546,Assumptions!$A$10:$B$16,2,0)),"")))</f>
        <v>46680</v>
      </c>
      <c r="M546" s="14">
        <f>IF(ISNUMBER(L546),L546-Assumptions!$B$5,"")</f>
        <v>658</v>
      </c>
      <c r="N546" s="17">
        <f t="shared" si="48"/>
        <v>0</v>
      </c>
      <c r="O546" s="14">
        <f>IF(COUNTIF(Assumptions!$A$25:$A$27,A546)&gt;0,1,0)</f>
        <v>0</v>
      </c>
      <c r="P546" s="14">
        <f>IF(COUNTIF(Assumptions!$B$25:$B$26,A546)&gt;0,1,0)</f>
        <v>0</v>
      </c>
      <c r="Q546" s="14">
        <f>IF(COUNTIF(Assumptions!$C$25:$C$25,A546)&gt;0,1,0)</f>
        <v>0</v>
      </c>
      <c r="R546" s="17">
        <f t="shared" si="49"/>
        <v>0</v>
      </c>
      <c r="S546" s="15" t="str">
        <f>IFERROR(VLOOKUP(A546,Assumptions!$A$31:$B$33,2,0),"")</f>
        <v/>
      </c>
      <c r="T546" s="15">
        <f t="shared" si="50"/>
        <v>68.89</v>
      </c>
      <c r="U546" s="15">
        <f t="shared" si="51"/>
        <v>328949.75</v>
      </c>
      <c r="V546" s="15">
        <f t="shared" si="52"/>
        <v>328949.75</v>
      </c>
      <c r="W546" s="15">
        <f t="shared" si="53"/>
        <v>0</v>
      </c>
    </row>
    <row r="547" spans="1:23" ht="15" customHeight="1" x14ac:dyDescent="0.2">
      <c r="A547" s="14" t="s">
        <v>2852</v>
      </c>
      <c r="B547" s="14" t="s">
        <v>2853</v>
      </c>
      <c r="C547" s="14" t="s">
        <v>1997</v>
      </c>
      <c r="D547" s="14" t="s">
        <v>45</v>
      </c>
      <c r="E547" s="14" t="s">
        <v>1993</v>
      </c>
      <c r="F547" s="14">
        <v>568</v>
      </c>
      <c r="G547" s="15">
        <v>95.48</v>
      </c>
      <c r="H547" s="16">
        <v>45998</v>
      </c>
      <c r="I547" s="16">
        <v>46402</v>
      </c>
      <c r="J547" s="16">
        <v>46583</v>
      </c>
      <c r="K547" s="14" t="s">
        <v>2030</v>
      </c>
      <c r="L547" s="16">
        <f>IF(D547="Packaging","",IF(ISNUMBER(J547),J547,IF(ISNUMBER(I547),EDATE(I547,VLOOKUP(D547,Assumptions!$A$10:$B$16,2,0)),"")))</f>
        <v>46583</v>
      </c>
      <c r="M547" s="14">
        <f>IF(ISNUMBER(L547),L547-Assumptions!$B$5,"")</f>
        <v>561</v>
      </c>
      <c r="N547" s="17">
        <f t="shared" si="48"/>
        <v>0</v>
      </c>
      <c r="O547" s="14">
        <f>IF(COUNTIF(Assumptions!$A$25:$A$27,A547)&gt;0,1,0)</f>
        <v>0</v>
      </c>
      <c r="P547" s="14">
        <f>IF(COUNTIF(Assumptions!$B$25:$B$26,A547)&gt;0,1,0)</f>
        <v>0</v>
      </c>
      <c r="Q547" s="14">
        <f>IF(COUNTIF(Assumptions!$C$25:$C$25,A547)&gt;0,1,0)</f>
        <v>0</v>
      </c>
      <c r="R547" s="17">
        <f t="shared" si="49"/>
        <v>0</v>
      </c>
      <c r="S547" s="15" t="str">
        <f>IFERROR(VLOOKUP(A547,Assumptions!$A$31:$B$33,2,0),"")</f>
        <v/>
      </c>
      <c r="T547" s="15">
        <f t="shared" si="50"/>
        <v>95.48</v>
      </c>
      <c r="U547" s="15">
        <f t="shared" si="51"/>
        <v>54232.639999999999</v>
      </c>
      <c r="V547" s="15">
        <f t="shared" si="52"/>
        <v>54232.639999999999</v>
      </c>
      <c r="W547" s="15">
        <f t="shared" si="53"/>
        <v>0</v>
      </c>
    </row>
    <row r="548" spans="1:23" ht="15" customHeight="1" x14ac:dyDescent="0.2">
      <c r="A548" s="14" t="s">
        <v>673</v>
      </c>
      <c r="B548" s="14" t="s">
        <v>672</v>
      </c>
      <c r="C548" s="14" t="s">
        <v>2018</v>
      </c>
      <c r="D548" s="14" t="s">
        <v>36</v>
      </c>
      <c r="E548" s="14" t="s">
        <v>2037</v>
      </c>
      <c r="F548" s="14">
        <v>1018</v>
      </c>
      <c r="G548" s="15">
        <v>122.09</v>
      </c>
      <c r="H548" s="16">
        <v>45677</v>
      </c>
      <c r="I548" s="16">
        <v>45659</v>
      </c>
      <c r="J548" s="16"/>
      <c r="K548" s="14" t="s">
        <v>2015</v>
      </c>
      <c r="L548" s="16">
        <f>IF(D548="Packaging","",IF(ISNUMBER(J548),J548,IF(ISNUMBER(I548),EDATE(I548,VLOOKUP(D548,Assumptions!$A$10:$B$16,2,0)),"")))</f>
        <v>46389</v>
      </c>
      <c r="M548" s="14">
        <f>IF(ISNUMBER(L548),L548-Assumptions!$B$5,"")</f>
        <v>367</v>
      </c>
      <c r="N548" s="17">
        <f t="shared" si="48"/>
        <v>0</v>
      </c>
      <c r="O548" s="14">
        <f>IF(COUNTIF(Assumptions!$A$25:$A$27,A548)&gt;0,1,0)</f>
        <v>0</v>
      </c>
      <c r="P548" s="14">
        <f>IF(COUNTIF(Assumptions!$B$25:$B$26,A548)&gt;0,1,0)</f>
        <v>0</v>
      </c>
      <c r="Q548" s="14">
        <f>IF(COUNTIF(Assumptions!$C$25:$C$25,A548)&gt;0,1,0)</f>
        <v>0</v>
      </c>
      <c r="R548" s="17">
        <f t="shared" si="49"/>
        <v>0</v>
      </c>
      <c r="S548" s="15" t="str">
        <f>IFERROR(VLOOKUP(A548,Assumptions!$A$31:$B$33,2,0),"")</f>
        <v/>
      </c>
      <c r="T548" s="15">
        <f t="shared" si="50"/>
        <v>122.09</v>
      </c>
      <c r="U548" s="15">
        <f t="shared" si="51"/>
        <v>124287.62000000001</v>
      </c>
      <c r="V548" s="15">
        <f t="shared" si="52"/>
        <v>124287.62000000001</v>
      </c>
      <c r="W548" s="15">
        <f t="shared" si="53"/>
        <v>0</v>
      </c>
    </row>
    <row r="549" spans="1:23" ht="15" customHeight="1" x14ac:dyDescent="0.2">
      <c r="A549" s="14" t="s">
        <v>2854</v>
      </c>
      <c r="B549" s="14" t="s">
        <v>2855</v>
      </c>
      <c r="C549" s="14" t="s">
        <v>2042</v>
      </c>
      <c r="D549" s="14" t="s">
        <v>47</v>
      </c>
      <c r="E549" s="14" t="s">
        <v>1993</v>
      </c>
      <c r="F549" s="14">
        <v>4641</v>
      </c>
      <c r="G549" s="15">
        <v>130.07</v>
      </c>
      <c r="H549" s="16">
        <v>45593</v>
      </c>
      <c r="I549" s="16">
        <v>45543</v>
      </c>
      <c r="J549" s="16"/>
      <c r="K549" s="14" t="s">
        <v>2004</v>
      </c>
      <c r="L549" s="16" t="str">
        <f>IF(D549="Packaging","",IF(ISNUMBER(J549),J549,IF(ISNUMBER(I549),EDATE(I549,VLOOKUP(D549,Assumptions!$A$10:$B$16,2,0)),"")))</f>
        <v/>
      </c>
      <c r="M549" s="14" t="str">
        <f>IF(ISNUMBER(L549),L549-Assumptions!$B$5,"")</f>
        <v/>
      </c>
      <c r="N549" s="17">
        <f t="shared" si="48"/>
        <v>0</v>
      </c>
      <c r="O549" s="14">
        <f>IF(COUNTIF(Assumptions!$A$25:$A$27,A549)&gt;0,1,0)</f>
        <v>0</v>
      </c>
      <c r="P549" s="14">
        <f>IF(COUNTIF(Assumptions!$B$25:$B$26,A549)&gt;0,1,0)</f>
        <v>0</v>
      </c>
      <c r="Q549" s="14">
        <f>IF(COUNTIF(Assumptions!$C$25:$C$25,A549)&gt;0,1,0)</f>
        <v>0</v>
      </c>
      <c r="R549" s="17">
        <f t="shared" si="49"/>
        <v>0</v>
      </c>
      <c r="S549" s="15" t="str">
        <f>IFERROR(VLOOKUP(A549,Assumptions!$A$31:$B$33,2,0),"")</f>
        <v/>
      </c>
      <c r="T549" s="15">
        <f t="shared" si="50"/>
        <v>130.07</v>
      </c>
      <c r="U549" s="15">
        <f t="shared" si="51"/>
        <v>603654.87</v>
      </c>
      <c r="V549" s="15">
        <f t="shared" si="52"/>
        <v>603654.87</v>
      </c>
      <c r="W549" s="15">
        <f t="shared" si="53"/>
        <v>0</v>
      </c>
    </row>
    <row r="550" spans="1:23" ht="15" customHeight="1" x14ac:dyDescent="0.2">
      <c r="A550" s="14" t="s">
        <v>2856</v>
      </c>
      <c r="B550" s="14" t="s">
        <v>2857</v>
      </c>
      <c r="C550" s="14" t="s">
        <v>2036</v>
      </c>
      <c r="D550" s="14" t="s">
        <v>45</v>
      </c>
      <c r="E550" s="14" t="s">
        <v>1993</v>
      </c>
      <c r="F550" s="14">
        <v>2447</v>
      </c>
      <c r="G550" s="15">
        <v>292.05</v>
      </c>
      <c r="H550" s="16">
        <v>45976</v>
      </c>
      <c r="I550" s="16">
        <v>46421</v>
      </c>
      <c r="J550" s="16">
        <v>46602</v>
      </c>
      <c r="K550" s="14" t="s">
        <v>1994</v>
      </c>
      <c r="L550" s="16">
        <f>IF(D550="Packaging","",IF(ISNUMBER(J550),J550,IF(ISNUMBER(I550),EDATE(I550,VLOOKUP(D550,Assumptions!$A$10:$B$16,2,0)),"")))</f>
        <v>46602</v>
      </c>
      <c r="M550" s="14">
        <f>IF(ISNUMBER(L550),L550-Assumptions!$B$5,"")</f>
        <v>580</v>
      </c>
      <c r="N550" s="17">
        <f t="shared" si="48"/>
        <v>0</v>
      </c>
      <c r="O550" s="14">
        <f>IF(COUNTIF(Assumptions!$A$25:$A$27,A550)&gt;0,1,0)</f>
        <v>0</v>
      </c>
      <c r="P550" s="14">
        <f>IF(COUNTIF(Assumptions!$B$25:$B$26,A550)&gt;0,1,0)</f>
        <v>0</v>
      </c>
      <c r="Q550" s="14">
        <f>IF(COUNTIF(Assumptions!$C$25:$C$25,A550)&gt;0,1,0)</f>
        <v>0</v>
      </c>
      <c r="R550" s="17">
        <f t="shared" si="49"/>
        <v>0</v>
      </c>
      <c r="S550" s="15" t="str">
        <f>IFERROR(VLOOKUP(A550,Assumptions!$A$31:$B$33,2,0),"")</f>
        <v/>
      </c>
      <c r="T550" s="15">
        <f t="shared" si="50"/>
        <v>292.05</v>
      </c>
      <c r="U550" s="15">
        <f t="shared" si="51"/>
        <v>714646.35</v>
      </c>
      <c r="V550" s="15">
        <f t="shared" si="52"/>
        <v>714646.35</v>
      </c>
      <c r="W550" s="15">
        <f t="shared" si="53"/>
        <v>0</v>
      </c>
    </row>
    <row r="551" spans="1:23" ht="15" customHeight="1" x14ac:dyDescent="0.2">
      <c r="A551" s="14" t="s">
        <v>2858</v>
      </c>
      <c r="B551" s="14" t="s">
        <v>2859</v>
      </c>
      <c r="C551" s="14" t="s">
        <v>2069</v>
      </c>
      <c r="D551" s="14" t="s">
        <v>47</v>
      </c>
      <c r="E551" s="14" t="s">
        <v>1988</v>
      </c>
      <c r="F551" s="14">
        <v>3283</v>
      </c>
      <c r="G551" s="15">
        <v>414.16</v>
      </c>
      <c r="H551" s="16">
        <v>45827</v>
      </c>
      <c r="I551" s="16">
        <v>45817</v>
      </c>
      <c r="J551" s="16"/>
      <c r="K551" s="14" t="s">
        <v>2030</v>
      </c>
      <c r="L551" s="16" t="str">
        <f>IF(D551="Packaging","",IF(ISNUMBER(J551),J551,IF(ISNUMBER(I551),EDATE(I551,VLOOKUP(D551,Assumptions!$A$10:$B$16,2,0)),"")))</f>
        <v/>
      </c>
      <c r="M551" s="14" t="str">
        <f>IF(ISNUMBER(L551),L551-Assumptions!$B$5,"")</f>
        <v/>
      </c>
      <c r="N551" s="17">
        <f t="shared" si="48"/>
        <v>0</v>
      </c>
      <c r="O551" s="14">
        <f>IF(COUNTIF(Assumptions!$A$25:$A$27,A551)&gt;0,1,0)</f>
        <v>0</v>
      </c>
      <c r="P551" s="14">
        <f>IF(COUNTIF(Assumptions!$B$25:$B$26,A551)&gt;0,1,0)</f>
        <v>0</v>
      </c>
      <c r="Q551" s="14">
        <f>IF(COUNTIF(Assumptions!$C$25:$C$25,A551)&gt;0,1,0)</f>
        <v>0</v>
      </c>
      <c r="R551" s="17">
        <f t="shared" si="49"/>
        <v>0</v>
      </c>
      <c r="S551" s="15" t="str">
        <f>IFERROR(VLOOKUP(A551,Assumptions!$A$31:$B$33,2,0),"")</f>
        <v/>
      </c>
      <c r="T551" s="15">
        <f t="shared" si="50"/>
        <v>414.16</v>
      </c>
      <c r="U551" s="15">
        <f t="shared" si="51"/>
        <v>1359687.28</v>
      </c>
      <c r="V551" s="15">
        <f t="shared" si="52"/>
        <v>1359687.28</v>
      </c>
      <c r="W551" s="15">
        <f t="shared" si="53"/>
        <v>0</v>
      </c>
    </row>
    <row r="552" spans="1:23" ht="15" customHeight="1" x14ac:dyDescent="0.2">
      <c r="A552" s="14" t="s">
        <v>2860</v>
      </c>
      <c r="B552" s="14" t="s">
        <v>2861</v>
      </c>
      <c r="C552" s="14" t="s">
        <v>2043</v>
      </c>
      <c r="D552" s="14" t="s">
        <v>39</v>
      </c>
      <c r="E552" s="14" t="s">
        <v>1988</v>
      </c>
      <c r="F552" s="14">
        <v>477</v>
      </c>
      <c r="G552" s="15">
        <v>175.7</v>
      </c>
      <c r="H552" s="16">
        <v>45596</v>
      </c>
      <c r="I552" s="16">
        <v>45520</v>
      </c>
      <c r="J552" s="16">
        <v>46615</v>
      </c>
      <c r="K552" s="14" t="s">
        <v>2052</v>
      </c>
      <c r="L552" s="16">
        <f>IF(D552="Packaging","",IF(ISNUMBER(J552),J552,IF(ISNUMBER(I552),EDATE(I552,VLOOKUP(D552,Assumptions!$A$10:$B$16,2,0)),"")))</f>
        <v>46615</v>
      </c>
      <c r="M552" s="14">
        <f>IF(ISNUMBER(L552),L552-Assumptions!$B$5,"")</f>
        <v>593</v>
      </c>
      <c r="N552" s="17">
        <f t="shared" si="48"/>
        <v>0</v>
      </c>
      <c r="O552" s="14">
        <f>IF(COUNTIF(Assumptions!$A$25:$A$27,A552)&gt;0,1,0)</f>
        <v>0</v>
      </c>
      <c r="P552" s="14">
        <f>IF(COUNTIF(Assumptions!$B$25:$B$26,A552)&gt;0,1,0)</f>
        <v>0</v>
      </c>
      <c r="Q552" s="14">
        <f>IF(COUNTIF(Assumptions!$C$25:$C$25,A552)&gt;0,1,0)</f>
        <v>0</v>
      </c>
      <c r="R552" s="17">
        <f t="shared" si="49"/>
        <v>0</v>
      </c>
      <c r="S552" s="15" t="str">
        <f>IFERROR(VLOOKUP(A552,Assumptions!$A$31:$B$33,2,0),"")</f>
        <v/>
      </c>
      <c r="T552" s="15">
        <f t="shared" si="50"/>
        <v>175.7</v>
      </c>
      <c r="U552" s="15">
        <f t="shared" si="51"/>
        <v>83808.899999999994</v>
      </c>
      <c r="V552" s="15">
        <f t="shared" si="52"/>
        <v>83808.899999999994</v>
      </c>
      <c r="W552" s="15">
        <f t="shared" si="53"/>
        <v>0</v>
      </c>
    </row>
    <row r="553" spans="1:23" ht="15" customHeight="1" x14ac:dyDescent="0.2">
      <c r="A553" s="14" t="s">
        <v>369</v>
      </c>
      <c r="B553" s="14" t="s">
        <v>368</v>
      </c>
      <c r="C553" s="14" t="s">
        <v>2013</v>
      </c>
      <c r="D553" s="14" t="s">
        <v>44</v>
      </c>
      <c r="E553" s="14" t="s">
        <v>1988</v>
      </c>
      <c r="F553" s="14">
        <v>4476</v>
      </c>
      <c r="G553" s="15">
        <v>168.54</v>
      </c>
      <c r="H553" s="16">
        <v>45746</v>
      </c>
      <c r="I553" s="16">
        <v>45703</v>
      </c>
      <c r="J553" s="16">
        <v>46249</v>
      </c>
      <c r="K553" s="14" t="s">
        <v>2052</v>
      </c>
      <c r="L553" s="16">
        <f>IF(D553="Packaging","",IF(ISNUMBER(J553),J553,IF(ISNUMBER(I553),EDATE(I553,VLOOKUP(D553,Assumptions!$A$10:$B$16,2,0)),"")))</f>
        <v>46249</v>
      </c>
      <c r="M553" s="14">
        <f>IF(ISNUMBER(L553),L553-Assumptions!$B$5,"")</f>
        <v>227</v>
      </c>
      <c r="N553" s="17">
        <f t="shared" si="48"/>
        <v>0</v>
      </c>
      <c r="O553" s="14">
        <f>IF(COUNTIF(Assumptions!$A$25:$A$27,A553)&gt;0,1,0)</f>
        <v>0</v>
      </c>
      <c r="P553" s="14">
        <f>IF(COUNTIF(Assumptions!$B$25:$B$26,A553)&gt;0,1,0)</f>
        <v>0</v>
      </c>
      <c r="Q553" s="14">
        <f>IF(COUNTIF(Assumptions!$C$25:$C$25,A553)&gt;0,1,0)</f>
        <v>0</v>
      </c>
      <c r="R553" s="17">
        <f t="shared" si="49"/>
        <v>0</v>
      </c>
      <c r="S553" s="15" t="str">
        <f>IFERROR(VLOOKUP(A553,Assumptions!$A$31:$B$33,2,0),"")</f>
        <v/>
      </c>
      <c r="T553" s="15">
        <f t="shared" si="50"/>
        <v>168.54</v>
      </c>
      <c r="U553" s="15">
        <f t="shared" si="51"/>
        <v>754385.03999999992</v>
      </c>
      <c r="V553" s="15">
        <f t="shared" si="52"/>
        <v>754385.03999999992</v>
      </c>
      <c r="W553" s="15">
        <f t="shared" si="53"/>
        <v>0</v>
      </c>
    </row>
    <row r="554" spans="1:23" ht="15" customHeight="1" x14ac:dyDescent="0.2">
      <c r="A554" s="14" t="s">
        <v>2862</v>
      </c>
      <c r="B554" s="14" t="s">
        <v>2863</v>
      </c>
      <c r="C554" s="14" t="s">
        <v>2013</v>
      </c>
      <c r="D554" s="14" t="s">
        <v>44</v>
      </c>
      <c r="E554" s="14" t="s">
        <v>2037</v>
      </c>
      <c r="F554" s="14">
        <v>2800</v>
      </c>
      <c r="G554" s="15">
        <v>244.67</v>
      </c>
      <c r="H554" s="16">
        <v>46001</v>
      </c>
      <c r="I554" s="16">
        <v>45972</v>
      </c>
      <c r="J554" s="16">
        <v>46518</v>
      </c>
      <c r="K554" s="14" t="s">
        <v>2015</v>
      </c>
      <c r="L554" s="16">
        <f>IF(D554="Packaging","",IF(ISNUMBER(J554),J554,IF(ISNUMBER(I554),EDATE(I554,VLOOKUP(D554,Assumptions!$A$10:$B$16,2,0)),"")))</f>
        <v>46518</v>
      </c>
      <c r="M554" s="14">
        <f>IF(ISNUMBER(L554),L554-Assumptions!$B$5,"")</f>
        <v>496</v>
      </c>
      <c r="N554" s="17">
        <f t="shared" si="48"/>
        <v>0</v>
      </c>
      <c r="O554" s="14">
        <f>IF(COUNTIF(Assumptions!$A$25:$A$27,A554)&gt;0,1,0)</f>
        <v>0</v>
      </c>
      <c r="P554" s="14">
        <f>IF(COUNTIF(Assumptions!$B$25:$B$26,A554)&gt;0,1,0)</f>
        <v>0</v>
      </c>
      <c r="Q554" s="14">
        <f>IF(COUNTIF(Assumptions!$C$25:$C$25,A554)&gt;0,1,0)</f>
        <v>0</v>
      </c>
      <c r="R554" s="17">
        <f t="shared" si="49"/>
        <v>0</v>
      </c>
      <c r="S554" s="15" t="str">
        <f>IFERROR(VLOOKUP(A554,Assumptions!$A$31:$B$33,2,0),"")</f>
        <v/>
      </c>
      <c r="T554" s="15">
        <f t="shared" si="50"/>
        <v>244.67</v>
      </c>
      <c r="U554" s="15">
        <f t="shared" si="51"/>
        <v>685076</v>
      </c>
      <c r="V554" s="15">
        <f t="shared" si="52"/>
        <v>685076</v>
      </c>
      <c r="W554" s="15">
        <f t="shared" si="53"/>
        <v>0</v>
      </c>
    </row>
    <row r="555" spans="1:23" ht="15" customHeight="1" x14ac:dyDescent="0.2">
      <c r="A555" s="14" t="s">
        <v>2864</v>
      </c>
      <c r="B555" s="14" t="s">
        <v>2865</v>
      </c>
      <c r="C555" s="14" t="s">
        <v>2137</v>
      </c>
      <c r="D555" s="14" t="s">
        <v>36</v>
      </c>
      <c r="E555" s="14" t="s">
        <v>1993</v>
      </c>
      <c r="F555" s="14">
        <v>4094</v>
      </c>
      <c r="G555" s="15">
        <v>167.65</v>
      </c>
      <c r="H555" s="16">
        <v>45959</v>
      </c>
      <c r="I555" s="16">
        <v>45932</v>
      </c>
      <c r="J555" s="16"/>
      <c r="K555" s="14" t="s">
        <v>2052</v>
      </c>
      <c r="L555" s="16">
        <f>IF(D555="Packaging","",IF(ISNUMBER(J555),J555,IF(ISNUMBER(I555),EDATE(I555,VLOOKUP(D555,Assumptions!$A$10:$B$16,2,0)),"")))</f>
        <v>46662</v>
      </c>
      <c r="M555" s="14">
        <f>IF(ISNUMBER(L555),L555-Assumptions!$B$5,"")</f>
        <v>640</v>
      </c>
      <c r="N555" s="17">
        <f t="shared" si="48"/>
        <v>0</v>
      </c>
      <c r="O555" s="14">
        <f>IF(COUNTIF(Assumptions!$A$25:$A$27,A555)&gt;0,1,0)</f>
        <v>0</v>
      </c>
      <c r="P555" s="14">
        <f>IF(COUNTIF(Assumptions!$B$25:$B$26,A555)&gt;0,1,0)</f>
        <v>0</v>
      </c>
      <c r="Q555" s="14">
        <f>IF(COUNTIF(Assumptions!$C$25:$C$25,A555)&gt;0,1,0)</f>
        <v>0</v>
      </c>
      <c r="R555" s="17">
        <f t="shared" si="49"/>
        <v>0</v>
      </c>
      <c r="S555" s="15" t="str">
        <f>IFERROR(VLOOKUP(A555,Assumptions!$A$31:$B$33,2,0),"")</f>
        <v/>
      </c>
      <c r="T555" s="15">
        <f t="shared" si="50"/>
        <v>167.65</v>
      </c>
      <c r="U555" s="15">
        <f t="shared" si="51"/>
        <v>686359.1</v>
      </c>
      <c r="V555" s="15">
        <f t="shared" si="52"/>
        <v>686359.1</v>
      </c>
      <c r="W555" s="15">
        <f t="shared" si="53"/>
        <v>0</v>
      </c>
    </row>
    <row r="556" spans="1:23" ht="15" customHeight="1" x14ac:dyDescent="0.2">
      <c r="A556" s="14" t="s">
        <v>2866</v>
      </c>
      <c r="B556" s="14" t="s">
        <v>2867</v>
      </c>
      <c r="C556" s="14" t="s">
        <v>1435</v>
      </c>
      <c r="D556" s="14" t="s">
        <v>36</v>
      </c>
      <c r="E556" s="14" t="s">
        <v>2037</v>
      </c>
      <c r="F556" s="14">
        <v>1664</v>
      </c>
      <c r="G556" s="15">
        <v>305.92</v>
      </c>
      <c r="H556" s="16">
        <v>46018</v>
      </c>
      <c r="I556" s="16">
        <v>45988</v>
      </c>
      <c r="J556" s="16">
        <v>46718</v>
      </c>
      <c r="K556" s="14" t="s">
        <v>2015</v>
      </c>
      <c r="L556" s="16">
        <f>IF(D556="Packaging","",IF(ISNUMBER(J556),J556,IF(ISNUMBER(I556),EDATE(I556,VLOOKUP(D556,Assumptions!$A$10:$B$16,2,0)),"")))</f>
        <v>46718</v>
      </c>
      <c r="M556" s="14">
        <f>IF(ISNUMBER(L556),L556-Assumptions!$B$5,"")</f>
        <v>696</v>
      </c>
      <c r="N556" s="17">
        <f t="shared" si="48"/>
        <v>0</v>
      </c>
      <c r="O556" s="14">
        <f>IF(COUNTIF(Assumptions!$A$25:$A$27,A556)&gt;0,1,0)</f>
        <v>0</v>
      </c>
      <c r="P556" s="14">
        <f>IF(COUNTIF(Assumptions!$B$25:$B$26,A556)&gt;0,1,0)</f>
        <v>0</v>
      </c>
      <c r="Q556" s="14">
        <f>IF(COUNTIF(Assumptions!$C$25:$C$25,A556)&gt;0,1,0)</f>
        <v>0</v>
      </c>
      <c r="R556" s="17">
        <f t="shared" si="49"/>
        <v>0</v>
      </c>
      <c r="S556" s="15" t="str">
        <f>IFERROR(VLOOKUP(A556,Assumptions!$A$31:$B$33,2,0),"")</f>
        <v/>
      </c>
      <c r="T556" s="15">
        <f t="shared" si="50"/>
        <v>305.92</v>
      </c>
      <c r="U556" s="15">
        <f t="shared" si="51"/>
        <v>509050.88</v>
      </c>
      <c r="V556" s="15">
        <f t="shared" si="52"/>
        <v>509050.88</v>
      </c>
      <c r="W556" s="15">
        <f t="shared" si="53"/>
        <v>0</v>
      </c>
    </row>
    <row r="557" spans="1:23" ht="15" customHeight="1" x14ac:dyDescent="0.2">
      <c r="A557" s="14" t="s">
        <v>2868</v>
      </c>
      <c r="B557" s="14" t="s">
        <v>2869</v>
      </c>
      <c r="C557" s="14" t="s">
        <v>2046</v>
      </c>
      <c r="D557" s="14" t="s">
        <v>42</v>
      </c>
      <c r="E557" s="14" t="s">
        <v>1988</v>
      </c>
      <c r="F557" s="14">
        <v>2269</v>
      </c>
      <c r="G557" s="15">
        <v>371.36</v>
      </c>
      <c r="H557" s="16">
        <v>45977</v>
      </c>
      <c r="I557" s="16">
        <v>46101</v>
      </c>
      <c r="J557" s="16">
        <v>46466</v>
      </c>
      <c r="K557" s="14" t="s">
        <v>2052</v>
      </c>
      <c r="L557" s="16">
        <f>IF(D557="Packaging","",IF(ISNUMBER(J557),J557,IF(ISNUMBER(I557),EDATE(I557,VLOOKUP(D557,Assumptions!$A$10:$B$16,2,0)),"")))</f>
        <v>46466</v>
      </c>
      <c r="M557" s="14">
        <f>IF(ISNUMBER(L557),L557-Assumptions!$B$5,"")</f>
        <v>444</v>
      </c>
      <c r="N557" s="17">
        <f t="shared" si="48"/>
        <v>0</v>
      </c>
      <c r="O557" s="14">
        <f>IF(COUNTIF(Assumptions!$A$25:$A$27,A557)&gt;0,1,0)</f>
        <v>0</v>
      </c>
      <c r="P557" s="14">
        <f>IF(COUNTIF(Assumptions!$B$25:$B$26,A557)&gt;0,1,0)</f>
        <v>0</v>
      </c>
      <c r="Q557" s="14">
        <f>IF(COUNTIF(Assumptions!$C$25:$C$25,A557)&gt;0,1,0)</f>
        <v>0</v>
      </c>
      <c r="R557" s="17">
        <f t="shared" si="49"/>
        <v>0</v>
      </c>
      <c r="S557" s="15" t="str">
        <f>IFERROR(VLOOKUP(A557,Assumptions!$A$31:$B$33,2,0),"")</f>
        <v/>
      </c>
      <c r="T557" s="15">
        <f t="shared" si="50"/>
        <v>371.36</v>
      </c>
      <c r="U557" s="15">
        <f t="shared" si="51"/>
        <v>842615.84000000008</v>
      </c>
      <c r="V557" s="15">
        <f t="shared" si="52"/>
        <v>842615.84000000008</v>
      </c>
      <c r="W557" s="15">
        <f t="shared" si="53"/>
        <v>0</v>
      </c>
    </row>
    <row r="558" spans="1:23" ht="15" customHeight="1" x14ac:dyDescent="0.2">
      <c r="A558" s="14" t="s">
        <v>2870</v>
      </c>
      <c r="B558" s="14" t="s">
        <v>2871</v>
      </c>
      <c r="C558" s="14" t="s">
        <v>2003</v>
      </c>
      <c r="D558" s="14" t="s">
        <v>46</v>
      </c>
      <c r="E558" s="14" t="s">
        <v>1988</v>
      </c>
      <c r="F558" s="14">
        <v>3112</v>
      </c>
      <c r="G558" s="15">
        <v>89.15</v>
      </c>
      <c r="H558" s="16">
        <v>45966</v>
      </c>
      <c r="I558" s="16">
        <v>46064</v>
      </c>
      <c r="J558" s="16"/>
      <c r="K558" s="14" t="s">
        <v>1994</v>
      </c>
      <c r="L558" s="16">
        <f>IF(D558="Packaging","",IF(ISNUMBER(J558),J558,IF(ISNUMBER(I558),EDATE(I558,VLOOKUP(D558,Assumptions!$A$10:$B$16,2,0)),"")))</f>
        <v>46337</v>
      </c>
      <c r="M558" s="14">
        <f>IF(ISNUMBER(L558),L558-Assumptions!$B$5,"")</f>
        <v>315</v>
      </c>
      <c r="N558" s="17">
        <f t="shared" si="48"/>
        <v>0</v>
      </c>
      <c r="O558" s="14">
        <f>IF(COUNTIF(Assumptions!$A$25:$A$27,A558)&gt;0,1,0)</f>
        <v>0</v>
      </c>
      <c r="P558" s="14">
        <f>IF(COUNTIF(Assumptions!$B$25:$B$26,A558)&gt;0,1,0)</f>
        <v>0</v>
      </c>
      <c r="Q558" s="14">
        <f>IF(COUNTIF(Assumptions!$C$25:$C$25,A558)&gt;0,1,0)</f>
        <v>0</v>
      </c>
      <c r="R558" s="17">
        <f t="shared" si="49"/>
        <v>0</v>
      </c>
      <c r="S558" s="15" t="str">
        <f>IFERROR(VLOOKUP(A558,Assumptions!$A$31:$B$33,2,0),"")</f>
        <v/>
      </c>
      <c r="T558" s="15">
        <f t="shared" si="50"/>
        <v>89.15</v>
      </c>
      <c r="U558" s="15">
        <f t="shared" si="51"/>
        <v>277434.80000000005</v>
      </c>
      <c r="V558" s="15">
        <f t="shared" si="52"/>
        <v>277434.80000000005</v>
      </c>
      <c r="W558" s="15">
        <f t="shared" si="53"/>
        <v>0</v>
      </c>
    </row>
    <row r="559" spans="1:23" ht="15" customHeight="1" x14ac:dyDescent="0.2">
      <c r="A559" s="14" t="s">
        <v>2872</v>
      </c>
      <c r="B559" s="14" t="s">
        <v>2873</v>
      </c>
      <c r="C559" s="14" t="s">
        <v>2043</v>
      </c>
      <c r="D559" s="14" t="s">
        <v>39</v>
      </c>
      <c r="E559" s="14" t="s">
        <v>2037</v>
      </c>
      <c r="F559" s="14">
        <v>3140</v>
      </c>
      <c r="G559" s="15">
        <v>113.89</v>
      </c>
      <c r="H559" s="16">
        <v>45429</v>
      </c>
      <c r="I559" s="16">
        <v>45396</v>
      </c>
      <c r="J559" s="16"/>
      <c r="K559" s="14" t="s">
        <v>2004</v>
      </c>
      <c r="L559" s="16">
        <f>IF(D559="Packaging","",IF(ISNUMBER(J559),J559,IF(ISNUMBER(I559),EDATE(I559,VLOOKUP(D559,Assumptions!$A$10:$B$16,2,0)),"")))</f>
        <v>46491</v>
      </c>
      <c r="M559" s="14">
        <f>IF(ISNUMBER(L559),L559-Assumptions!$B$5,"")</f>
        <v>469</v>
      </c>
      <c r="N559" s="17">
        <f t="shared" si="48"/>
        <v>0</v>
      </c>
      <c r="O559" s="14">
        <f>IF(COUNTIF(Assumptions!$A$25:$A$27,A559)&gt;0,1,0)</f>
        <v>0</v>
      </c>
      <c r="P559" s="14">
        <f>IF(COUNTIF(Assumptions!$B$25:$B$26,A559)&gt;0,1,0)</f>
        <v>0</v>
      </c>
      <c r="Q559" s="14">
        <f>IF(COUNTIF(Assumptions!$C$25:$C$25,A559)&gt;0,1,0)</f>
        <v>0</v>
      </c>
      <c r="R559" s="17">
        <f t="shared" si="49"/>
        <v>0</v>
      </c>
      <c r="S559" s="15" t="str">
        <f>IFERROR(VLOOKUP(A559,Assumptions!$A$31:$B$33,2,0),"")</f>
        <v/>
      </c>
      <c r="T559" s="15">
        <f t="shared" si="50"/>
        <v>113.89</v>
      </c>
      <c r="U559" s="15">
        <f t="shared" si="51"/>
        <v>357614.6</v>
      </c>
      <c r="V559" s="15">
        <f t="shared" si="52"/>
        <v>357614.6</v>
      </c>
      <c r="W559" s="15">
        <f t="shared" si="53"/>
        <v>0</v>
      </c>
    </row>
    <row r="560" spans="1:23" ht="15" customHeight="1" x14ac:dyDescent="0.2">
      <c r="A560" s="14" t="s">
        <v>2874</v>
      </c>
      <c r="B560" s="14" t="s">
        <v>2875</v>
      </c>
      <c r="C560" s="14" t="s">
        <v>2027</v>
      </c>
      <c r="D560" s="14" t="s">
        <v>44</v>
      </c>
      <c r="E560" s="14" t="s">
        <v>1988</v>
      </c>
      <c r="F560" s="14">
        <v>4187</v>
      </c>
      <c r="G560" s="15">
        <v>117.51</v>
      </c>
      <c r="H560" s="16">
        <v>45466</v>
      </c>
      <c r="I560" s="16">
        <v>45388</v>
      </c>
      <c r="J560" s="16">
        <v>45936</v>
      </c>
      <c r="K560" s="14" t="s">
        <v>1989</v>
      </c>
      <c r="L560" s="16">
        <f>IF(D560="Packaging","",IF(ISNUMBER(J560),J560,IF(ISNUMBER(I560),EDATE(I560,VLOOKUP(D560,Assumptions!$A$10:$B$16,2,0)),"")))</f>
        <v>45936</v>
      </c>
      <c r="M560" s="14">
        <f>IF(ISNUMBER(L560),L560-Assumptions!$B$5,"")</f>
        <v>-86</v>
      </c>
      <c r="N560" s="17">
        <f t="shared" si="48"/>
        <v>1</v>
      </c>
      <c r="O560" s="14">
        <f>IF(COUNTIF(Assumptions!$A$25:$A$27,A560)&gt;0,1,0)</f>
        <v>0</v>
      </c>
      <c r="P560" s="14">
        <f>IF(COUNTIF(Assumptions!$B$25:$B$26,A560)&gt;0,1,0)</f>
        <v>0</v>
      </c>
      <c r="Q560" s="14">
        <f>IF(COUNTIF(Assumptions!$C$25:$C$25,A560)&gt;0,1,0)</f>
        <v>0</v>
      </c>
      <c r="R560" s="17">
        <f t="shared" si="49"/>
        <v>1</v>
      </c>
      <c r="S560" s="15" t="str">
        <f>IFERROR(VLOOKUP(A560,Assumptions!$A$31:$B$33,2,0),"")</f>
        <v/>
      </c>
      <c r="T560" s="15">
        <f t="shared" si="50"/>
        <v>117.51</v>
      </c>
      <c r="U560" s="15">
        <f t="shared" si="51"/>
        <v>492014.37</v>
      </c>
      <c r="V560" s="15">
        <f t="shared" si="52"/>
        <v>0</v>
      </c>
      <c r="W560" s="15">
        <f t="shared" si="53"/>
        <v>492014.37</v>
      </c>
    </row>
    <row r="561" spans="1:23" ht="15" customHeight="1" x14ac:dyDescent="0.2">
      <c r="A561" s="14" t="s">
        <v>2876</v>
      </c>
      <c r="B561" s="14" t="s">
        <v>2877</v>
      </c>
      <c r="C561" s="14" t="s">
        <v>2219</v>
      </c>
      <c r="D561" s="14" t="s">
        <v>42</v>
      </c>
      <c r="E561" s="14" t="s">
        <v>1993</v>
      </c>
      <c r="F561" s="14">
        <v>4830</v>
      </c>
      <c r="G561" s="15">
        <v>350.97</v>
      </c>
      <c r="H561" s="16">
        <v>45801</v>
      </c>
      <c r="I561" s="16">
        <v>45738</v>
      </c>
      <c r="J561" s="16"/>
      <c r="K561" s="14" t="s">
        <v>1994</v>
      </c>
      <c r="L561" s="16">
        <f>IF(D561="Packaging","",IF(ISNUMBER(J561),J561,IF(ISNUMBER(I561),EDATE(I561,VLOOKUP(D561,Assumptions!$A$10:$B$16,2,0)),"")))</f>
        <v>46103</v>
      </c>
      <c r="M561" s="14">
        <f>IF(ISNUMBER(L561),L561-Assumptions!$B$5,"")</f>
        <v>81</v>
      </c>
      <c r="N561" s="17">
        <f t="shared" si="48"/>
        <v>0.5</v>
      </c>
      <c r="O561" s="14">
        <f>IF(COUNTIF(Assumptions!$A$25:$A$27,A561)&gt;0,1,0)</f>
        <v>0</v>
      </c>
      <c r="P561" s="14">
        <f>IF(COUNTIF(Assumptions!$B$25:$B$26,A561)&gt;0,1,0)</f>
        <v>0</v>
      </c>
      <c r="Q561" s="14">
        <f>IF(COUNTIF(Assumptions!$C$25:$C$25,A561)&gt;0,1,0)</f>
        <v>0</v>
      </c>
      <c r="R561" s="17">
        <f t="shared" si="49"/>
        <v>0.5</v>
      </c>
      <c r="S561" s="15" t="str">
        <f>IFERROR(VLOOKUP(A561,Assumptions!$A$31:$B$33,2,0),"")</f>
        <v/>
      </c>
      <c r="T561" s="15">
        <f t="shared" si="50"/>
        <v>350.97</v>
      </c>
      <c r="U561" s="15">
        <f t="shared" si="51"/>
        <v>1695185.1</v>
      </c>
      <c r="V561" s="15">
        <f t="shared" si="52"/>
        <v>847592.55</v>
      </c>
      <c r="W561" s="15">
        <f t="shared" si="53"/>
        <v>847592.55</v>
      </c>
    </row>
    <row r="562" spans="1:23" ht="15" customHeight="1" x14ac:dyDescent="0.2">
      <c r="A562" s="14" t="s">
        <v>2878</v>
      </c>
      <c r="B562" s="14" t="s">
        <v>2879</v>
      </c>
      <c r="C562" s="14" t="s">
        <v>2108</v>
      </c>
      <c r="D562" s="14" t="s">
        <v>39</v>
      </c>
      <c r="E562" s="14" t="s">
        <v>2014</v>
      </c>
      <c r="F562" s="14">
        <v>3490</v>
      </c>
      <c r="G562" s="15">
        <v>380.06</v>
      </c>
      <c r="H562" s="16">
        <v>45262</v>
      </c>
      <c r="I562" s="16">
        <v>45210</v>
      </c>
      <c r="J562" s="16">
        <v>46306</v>
      </c>
      <c r="K562" s="14" t="s">
        <v>1994</v>
      </c>
      <c r="L562" s="16">
        <f>IF(D562="Packaging","",IF(ISNUMBER(J562),J562,IF(ISNUMBER(I562),EDATE(I562,VLOOKUP(D562,Assumptions!$A$10:$B$16,2,0)),"")))</f>
        <v>46306</v>
      </c>
      <c r="M562" s="14">
        <f>IF(ISNUMBER(L562),L562-Assumptions!$B$5,"")</f>
        <v>284</v>
      </c>
      <c r="N562" s="17">
        <f t="shared" si="48"/>
        <v>0</v>
      </c>
      <c r="O562" s="14">
        <f>IF(COUNTIF(Assumptions!$A$25:$A$27,A562)&gt;0,1,0)</f>
        <v>0</v>
      </c>
      <c r="P562" s="14">
        <f>IF(COUNTIF(Assumptions!$B$25:$B$26,A562)&gt;0,1,0)</f>
        <v>0</v>
      </c>
      <c r="Q562" s="14">
        <f>IF(COUNTIF(Assumptions!$C$25:$C$25,A562)&gt;0,1,0)</f>
        <v>0</v>
      </c>
      <c r="R562" s="17">
        <f t="shared" si="49"/>
        <v>0</v>
      </c>
      <c r="S562" s="15" t="str">
        <f>IFERROR(VLOOKUP(A562,Assumptions!$A$31:$B$33,2,0),"")</f>
        <v/>
      </c>
      <c r="T562" s="15">
        <f t="shared" si="50"/>
        <v>380.06</v>
      </c>
      <c r="U562" s="15">
        <f t="shared" si="51"/>
        <v>1326409.3999999999</v>
      </c>
      <c r="V562" s="15">
        <f t="shared" si="52"/>
        <v>1326409.3999999999</v>
      </c>
      <c r="W562" s="15">
        <f t="shared" si="53"/>
        <v>0</v>
      </c>
    </row>
    <row r="563" spans="1:23" ht="15" customHeight="1" x14ac:dyDescent="0.2">
      <c r="A563" s="14" t="s">
        <v>2880</v>
      </c>
      <c r="B563" s="14" t="s">
        <v>2881</v>
      </c>
      <c r="C563" s="14" t="s">
        <v>2036</v>
      </c>
      <c r="D563" s="14" t="s">
        <v>45</v>
      </c>
      <c r="E563" s="14" t="s">
        <v>2037</v>
      </c>
      <c r="F563" s="14">
        <v>1810</v>
      </c>
      <c r="G563" s="15">
        <v>200.94</v>
      </c>
      <c r="H563" s="16">
        <v>45970</v>
      </c>
      <c r="I563" s="16">
        <v>46081</v>
      </c>
      <c r="J563" s="16">
        <v>46263</v>
      </c>
      <c r="K563" s="14" t="s">
        <v>2015</v>
      </c>
      <c r="L563" s="16">
        <f>IF(D563="Packaging","",IF(ISNUMBER(J563),J563,IF(ISNUMBER(I563),EDATE(I563,VLOOKUP(D563,Assumptions!$A$10:$B$16,2,0)),"")))</f>
        <v>46263</v>
      </c>
      <c r="M563" s="14">
        <f>IF(ISNUMBER(L563),L563-Assumptions!$B$5,"")</f>
        <v>241</v>
      </c>
      <c r="N563" s="17">
        <f t="shared" si="48"/>
        <v>0</v>
      </c>
      <c r="O563" s="14">
        <f>IF(COUNTIF(Assumptions!$A$25:$A$27,A563)&gt;0,1,0)</f>
        <v>0</v>
      </c>
      <c r="P563" s="14">
        <f>IF(COUNTIF(Assumptions!$B$25:$B$26,A563)&gt;0,1,0)</f>
        <v>0</v>
      </c>
      <c r="Q563" s="14">
        <f>IF(COUNTIF(Assumptions!$C$25:$C$25,A563)&gt;0,1,0)</f>
        <v>0</v>
      </c>
      <c r="R563" s="17">
        <f t="shared" si="49"/>
        <v>0</v>
      </c>
      <c r="S563" s="15" t="str">
        <f>IFERROR(VLOOKUP(A563,Assumptions!$A$31:$B$33,2,0),"")</f>
        <v/>
      </c>
      <c r="T563" s="15">
        <f t="shared" si="50"/>
        <v>200.94</v>
      </c>
      <c r="U563" s="15">
        <f t="shared" si="51"/>
        <v>363701.4</v>
      </c>
      <c r="V563" s="15">
        <f t="shared" si="52"/>
        <v>363701.4</v>
      </c>
      <c r="W563" s="15">
        <f t="shared" si="53"/>
        <v>0</v>
      </c>
    </row>
    <row r="564" spans="1:23" ht="15" customHeight="1" x14ac:dyDescent="0.2">
      <c r="A564" s="14" t="s">
        <v>2882</v>
      </c>
      <c r="B564" s="14" t="s">
        <v>2883</v>
      </c>
      <c r="C564" s="14" t="s">
        <v>2142</v>
      </c>
      <c r="D564" s="14" t="s">
        <v>44</v>
      </c>
      <c r="E564" s="14" t="s">
        <v>1988</v>
      </c>
      <c r="F564" s="14">
        <v>2157</v>
      </c>
      <c r="G564" s="15">
        <v>370.85</v>
      </c>
      <c r="H564" s="16">
        <v>45986</v>
      </c>
      <c r="I564" s="16">
        <v>46149</v>
      </c>
      <c r="J564" s="16">
        <v>46698</v>
      </c>
      <c r="K564" s="14" t="s">
        <v>2052</v>
      </c>
      <c r="L564" s="16">
        <f>IF(D564="Packaging","",IF(ISNUMBER(J564),J564,IF(ISNUMBER(I564),EDATE(I564,VLOOKUP(D564,Assumptions!$A$10:$B$16,2,0)),"")))</f>
        <v>46698</v>
      </c>
      <c r="M564" s="14">
        <f>IF(ISNUMBER(L564),L564-Assumptions!$B$5,"")</f>
        <v>676</v>
      </c>
      <c r="N564" s="17">
        <f t="shared" si="48"/>
        <v>0</v>
      </c>
      <c r="O564" s="14">
        <f>IF(COUNTIF(Assumptions!$A$25:$A$27,A564)&gt;0,1,0)</f>
        <v>0</v>
      </c>
      <c r="P564" s="14">
        <f>IF(COUNTIF(Assumptions!$B$25:$B$26,A564)&gt;0,1,0)</f>
        <v>0</v>
      </c>
      <c r="Q564" s="14">
        <f>IF(COUNTIF(Assumptions!$C$25:$C$25,A564)&gt;0,1,0)</f>
        <v>0</v>
      </c>
      <c r="R564" s="17">
        <f t="shared" si="49"/>
        <v>0</v>
      </c>
      <c r="S564" s="15" t="str">
        <f>IFERROR(VLOOKUP(A564,Assumptions!$A$31:$B$33,2,0),"")</f>
        <v/>
      </c>
      <c r="T564" s="15">
        <f t="shared" si="50"/>
        <v>370.85</v>
      </c>
      <c r="U564" s="15">
        <f t="shared" si="51"/>
        <v>799923.45000000007</v>
      </c>
      <c r="V564" s="15">
        <f t="shared" si="52"/>
        <v>799923.45000000007</v>
      </c>
      <c r="W564" s="15">
        <f t="shared" si="53"/>
        <v>0</v>
      </c>
    </row>
    <row r="565" spans="1:23" ht="15" customHeight="1" x14ac:dyDescent="0.2">
      <c r="A565" s="14" t="s">
        <v>2884</v>
      </c>
      <c r="B565" s="14" t="s">
        <v>2885</v>
      </c>
      <c r="C565" s="14" t="s">
        <v>2036</v>
      </c>
      <c r="D565" s="14" t="s">
        <v>45</v>
      </c>
      <c r="E565" s="14" t="s">
        <v>1993</v>
      </c>
      <c r="F565" s="14">
        <v>3004</v>
      </c>
      <c r="G565" s="15">
        <v>233.22</v>
      </c>
      <c r="H565" s="16">
        <v>45993</v>
      </c>
      <c r="I565" s="16">
        <v>46602</v>
      </c>
      <c r="J565" s="16">
        <v>46786</v>
      </c>
      <c r="K565" s="14" t="s">
        <v>2030</v>
      </c>
      <c r="L565" s="16">
        <f>IF(D565="Packaging","",IF(ISNUMBER(J565),J565,IF(ISNUMBER(I565),EDATE(I565,VLOOKUP(D565,Assumptions!$A$10:$B$16,2,0)),"")))</f>
        <v>46786</v>
      </c>
      <c r="M565" s="14">
        <f>IF(ISNUMBER(L565),L565-Assumptions!$B$5,"")</f>
        <v>764</v>
      </c>
      <c r="N565" s="17">
        <f t="shared" si="48"/>
        <v>0</v>
      </c>
      <c r="O565" s="14">
        <f>IF(COUNTIF(Assumptions!$A$25:$A$27,A565)&gt;0,1,0)</f>
        <v>0</v>
      </c>
      <c r="P565" s="14">
        <f>IF(COUNTIF(Assumptions!$B$25:$B$26,A565)&gt;0,1,0)</f>
        <v>0</v>
      </c>
      <c r="Q565" s="14">
        <f>IF(COUNTIF(Assumptions!$C$25:$C$25,A565)&gt;0,1,0)</f>
        <v>0</v>
      </c>
      <c r="R565" s="17">
        <f t="shared" si="49"/>
        <v>0</v>
      </c>
      <c r="S565" s="15" t="str">
        <f>IFERROR(VLOOKUP(A565,Assumptions!$A$31:$B$33,2,0),"")</f>
        <v/>
      </c>
      <c r="T565" s="15">
        <f t="shared" si="50"/>
        <v>233.22</v>
      </c>
      <c r="U565" s="15">
        <f t="shared" si="51"/>
        <v>700592.88</v>
      </c>
      <c r="V565" s="15">
        <f t="shared" si="52"/>
        <v>700592.88</v>
      </c>
      <c r="W565" s="15">
        <f t="shared" si="53"/>
        <v>0</v>
      </c>
    </row>
    <row r="566" spans="1:23" ht="15" customHeight="1" x14ac:dyDescent="0.2">
      <c r="A566" s="14" t="s">
        <v>677</v>
      </c>
      <c r="B566" s="14" t="s">
        <v>676</v>
      </c>
      <c r="C566" s="14" t="s">
        <v>1987</v>
      </c>
      <c r="D566" s="14" t="s">
        <v>36</v>
      </c>
      <c r="E566" s="14" t="s">
        <v>1993</v>
      </c>
      <c r="F566" s="14">
        <v>1070</v>
      </c>
      <c r="G566" s="15">
        <v>126.43</v>
      </c>
      <c r="H566" s="16">
        <v>45825</v>
      </c>
      <c r="I566" s="16">
        <v>45753</v>
      </c>
      <c r="J566" s="16">
        <v>46483</v>
      </c>
      <c r="K566" s="14" t="s">
        <v>2021</v>
      </c>
      <c r="L566" s="16">
        <f>IF(D566="Packaging","",IF(ISNUMBER(J566),J566,IF(ISNUMBER(I566),EDATE(I566,VLOOKUP(D566,Assumptions!$A$10:$B$16,2,0)),"")))</f>
        <v>46483</v>
      </c>
      <c r="M566" s="14">
        <f>IF(ISNUMBER(L566),L566-Assumptions!$B$5,"")</f>
        <v>461</v>
      </c>
      <c r="N566" s="17">
        <f t="shared" si="48"/>
        <v>0</v>
      </c>
      <c r="O566" s="14">
        <f>IF(COUNTIF(Assumptions!$A$25:$A$27,A566)&gt;0,1,0)</f>
        <v>0</v>
      </c>
      <c r="P566" s="14">
        <f>IF(COUNTIF(Assumptions!$B$25:$B$26,A566)&gt;0,1,0)</f>
        <v>0</v>
      </c>
      <c r="Q566" s="14">
        <f>IF(COUNTIF(Assumptions!$C$25:$C$25,A566)&gt;0,1,0)</f>
        <v>0</v>
      </c>
      <c r="R566" s="17">
        <f t="shared" si="49"/>
        <v>0</v>
      </c>
      <c r="S566" s="15" t="str">
        <f>IFERROR(VLOOKUP(A566,Assumptions!$A$31:$B$33,2,0),"")</f>
        <v/>
      </c>
      <c r="T566" s="15">
        <f t="shared" si="50"/>
        <v>126.43</v>
      </c>
      <c r="U566" s="15">
        <f t="shared" si="51"/>
        <v>135280.1</v>
      </c>
      <c r="V566" s="15">
        <f t="shared" si="52"/>
        <v>135280.1</v>
      </c>
      <c r="W566" s="15">
        <f t="shared" si="53"/>
        <v>0</v>
      </c>
    </row>
    <row r="567" spans="1:23" ht="15" customHeight="1" x14ac:dyDescent="0.2">
      <c r="A567" s="14" t="s">
        <v>680</v>
      </c>
      <c r="B567" s="14" t="s">
        <v>679</v>
      </c>
      <c r="C567" s="14" t="s">
        <v>1987</v>
      </c>
      <c r="D567" s="14" t="s">
        <v>36</v>
      </c>
      <c r="E567" s="14" t="s">
        <v>1988</v>
      </c>
      <c r="F567" s="14">
        <v>925</v>
      </c>
      <c r="G567" s="15">
        <v>336.11</v>
      </c>
      <c r="H567" s="16">
        <v>45873</v>
      </c>
      <c r="I567" s="16">
        <v>45843</v>
      </c>
      <c r="J567" s="16">
        <v>46573</v>
      </c>
      <c r="K567" s="14" t="s">
        <v>2052</v>
      </c>
      <c r="L567" s="16">
        <f>IF(D567="Packaging","",IF(ISNUMBER(J567),J567,IF(ISNUMBER(I567),EDATE(I567,VLOOKUP(D567,Assumptions!$A$10:$B$16,2,0)),"")))</f>
        <v>46573</v>
      </c>
      <c r="M567" s="14">
        <f>IF(ISNUMBER(L567),L567-Assumptions!$B$5,"")</f>
        <v>551</v>
      </c>
      <c r="N567" s="17">
        <f t="shared" si="48"/>
        <v>0</v>
      </c>
      <c r="O567" s="14">
        <f>IF(COUNTIF(Assumptions!$A$25:$A$27,A567)&gt;0,1,0)</f>
        <v>0</v>
      </c>
      <c r="P567" s="14">
        <f>IF(COUNTIF(Assumptions!$B$25:$B$26,A567)&gt;0,1,0)</f>
        <v>0</v>
      </c>
      <c r="Q567" s="14">
        <f>IF(COUNTIF(Assumptions!$C$25:$C$25,A567)&gt;0,1,0)</f>
        <v>0</v>
      </c>
      <c r="R567" s="17">
        <f t="shared" si="49"/>
        <v>0</v>
      </c>
      <c r="S567" s="15" t="str">
        <f>IFERROR(VLOOKUP(A567,Assumptions!$A$31:$B$33,2,0),"")</f>
        <v/>
      </c>
      <c r="T567" s="15">
        <f t="shared" si="50"/>
        <v>336.11</v>
      </c>
      <c r="U567" s="15">
        <f t="shared" si="51"/>
        <v>310901.75</v>
      </c>
      <c r="V567" s="15">
        <f t="shared" si="52"/>
        <v>310901.75</v>
      </c>
      <c r="W567" s="15">
        <f t="shared" si="53"/>
        <v>0</v>
      </c>
    </row>
    <row r="568" spans="1:23" ht="15" customHeight="1" x14ac:dyDescent="0.2">
      <c r="A568" s="14" t="s">
        <v>2886</v>
      </c>
      <c r="B568" s="14" t="s">
        <v>2887</v>
      </c>
      <c r="C568" s="14" t="s">
        <v>2192</v>
      </c>
      <c r="D568" s="14" t="s">
        <v>39</v>
      </c>
      <c r="E568" s="14" t="s">
        <v>1993</v>
      </c>
      <c r="F568" s="14">
        <v>3046</v>
      </c>
      <c r="G568" s="15">
        <v>299.5</v>
      </c>
      <c r="H568" s="16">
        <v>45623</v>
      </c>
      <c r="I568" s="16">
        <v>45604</v>
      </c>
      <c r="J568" s="16">
        <v>46699</v>
      </c>
      <c r="K568" s="14" t="s">
        <v>2052</v>
      </c>
      <c r="L568" s="16">
        <f>IF(D568="Packaging","",IF(ISNUMBER(J568),J568,IF(ISNUMBER(I568),EDATE(I568,VLOOKUP(D568,Assumptions!$A$10:$B$16,2,0)),"")))</f>
        <v>46699</v>
      </c>
      <c r="M568" s="14">
        <f>IF(ISNUMBER(L568),L568-Assumptions!$B$5,"")</f>
        <v>677</v>
      </c>
      <c r="N568" s="17">
        <f t="shared" si="48"/>
        <v>0</v>
      </c>
      <c r="O568" s="14">
        <f>IF(COUNTIF(Assumptions!$A$25:$A$27,A568)&gt;0,1,0)</f>
        <v>0</v>
      </c>
      <c r="P568" s="14">
        <f>IF(COUNTIF(Assumptions!$B$25:$B$26,A568)&gt;0,1,0)</f>
        <v>0</v>
      </c>
      <c r="Q568" s="14">
        <f>IF(COUNTIF(Assumptions!$C$25:$C$25,A568)&gt;0,1,0)</f>
        <v>0</v>
      </c>
      <c r="R568" s="17">
        <f t="shared" si="49"/>
        <v>0</v>
      </c>
      <c r="S568" s="15" t="str">
        <f>IFERROR(VLOOKUP(A568,Assumptions!$A$31:$B$33,2,0),"")</f>
        <v/>
      </c>
      <c r="T568" s="15">
        <f t="shared" si="50"/>
        <v>299.5</v>
      </c>
      <c r="U568" s="15">
        <f t="shared" si="51"/>
        <v>912277</v>
      </c>
      <c r="V568" s="15">
        <f t="shared" si="52"/>
        <v>912277</v>
      </c>
      <c r="W568" s="15">
        <f t="shared" si="53"/>
        <v>0</v>
      </c>
    </row>
    <row r="569" spans="1:23" ht="15" customHeight="1" x14ac:dyDescent="0.2">
      <c r="A569" s="14" t="s">
        <v>2888</v>
      </c>
      <c r="B569" s="14" t="s">
        <v>2889</v>
      </c>
      <c r="C569" s="14" t="s">
        <v>1435</v>
      </c>
      <c r="D569" s="14" t="s">
        <v>36</v>
      </c>
      <c r="E569" s="14" t="s">
        <v>2014</v>
      </c>
      <c r="F569" s="14">
        <v>2668</v>
      </c>
      <c r="G569" s="15">
        <v>346.42</v>
      </c>
      <c r="H569" s="16">
        <v>45984</v>
      </c>
      <c r="I569" s="16">
        <v>46059</v>
      </c>
      <c r="J569" s="16">
        <v>46789</v>
      </c>
      <c r="K569" s="14" t="s">
        <v>2004</v>
      </c>
      <c r="L569" s="16">
        <f>IF(D569="Packaging","",IF(ISNUMBER(J569),J569,IF(ISNUMBER(I569),EDATE(I569,VLOOKUP(D569,Assumptions!$A$10:$B$16,2,0)),"")))</f>
        <v>46789</v>
      </c>
      <c r="M569" s="14">
        <f>IF(ISNUMBER(L569),L569-Assumptions!$B$5,"")</f>
        <v>767</v>
      </c>
      <c r="N569" s="17">
        <f t="shared" si="48"/>
        <v>0</v>
      </c>
      <c r="O569" s="14">
        <f>IF(COUNTIF(Assumptions!$A$25:$A$27,A569)&gt;0,1,0)</f>
        <v>0</v>
      </c>
      <c r="P569" s="14">
        <f>IF(COUNTIF(Assumptions!$B$25:$B$26,A569)&gt;0,1,0)</f>
        <v>0</v>
      </c>
      <c r="Q569" s="14">
        <f>IF(COUNTIF(Assumptions!$C$25:$C$25,A569)&gt;0,1,0)</f>
        <v>0</v>
      </c>
      <c r="R569" s="17">
        <f t="shared" si="49"/>
        <v>0</v>
      </c>
      <c r="S569" s="15" t="str">
        <f>IFERROR(VLOOKUP(A569,Assumptions!$A$31:$B$33,2,0),"")</f>
        <v/>
      </c>
      <c r="T569" s="15">
        <f t="shared" si="50"/>
        <v>346.42</v>
      </c>
      <c r="U569" s="15">
        <f t="shared" si="51"/>
        <v>924248.56</v>
      </c>
      <c r="V569" s="15">
        <f t="shared" si="52"/>
        <v>924248.56</v>
      </c>
      <c r="W569" s="15">
        <f t="shared" si="53"/>
        <v>0</v>
      </c>
    </row>
    <row r="570" spans="1:23" ht="15" customHeight="1" x14ac:dyDescent="0.2">
      <c r="A570" s="14" t="s">
        <v>2890</v>
      </c>
      <c r="B570" s="14" t="s">
        <v>2891</v>
      </c>
      <c r="C570" s="14" t="s">
        <v>2069</v>
      </c>
      <c r="D570" s="14" t="s">
        <v>47</v>
      </c>
      <c r="E570" s="14" t="s">
        <v>1993</v>
      </c>
      <c r="F570" s="14">
        <v>1565</v>
      </c>
      <c r="G570" s="15">
        <v>240.32</v>
      </c>
      <c r="H570" s="16">
        <v>45788</v>
      </c>
      <c r="I570" s="16">
        <v>45707</v>
      </c>
      <c r="J570" s="16"/>
      <c r="K570" s="14" t="s">
        <v>2030</v>
      </c>
      <c r="L570" s="16" t="str">
        <f>IF(D570="Packaging","",IF(ISNUMBER(J570),J570,IF(ISNUMBER(I570),EDATE(I570,VLOOKUP(D570,Assumptions!$A$10:$B$16,2,0)),"")))</f>
        <v/>
      </c>
      <c r="M570" s="14" t="str">
        <f>IF(ISNUMBER(L570),L570-Assumptions!$B$5,"")</f>
        <v/>
      </c>
      <c r="N570" s="17">
        <f t="shared" si="48"/>
        <v>0</v>
      </c>
      <c r="O570" s="14">
        <f>IF(COUNTIF(Assumptions!$A$25:$A$27,A570)&gt;0,1,0)</f>
        <v>0</v>
      </c>
      <c r="P570" s="14">
        <f>IF(COUNTIF(Assumptions!$B$25:$B$26,A570)&gt;0,1,0)</f>
        <v>0</v>
      </c>
      <c r="Q570" s="14">
        <f>IF(COUNTIF(Assumptions!$C$25:$C$25,A570)&gt;0,1,0)</f>
        <v>0</v>
      </c>
      <c r="R570" s="17">
        <f t="shared" si="49"/>
        <v>0</v>
      </c>
      <c r="S570" s="15" t="str">
        <f>IFERROR(VLOOKUP(A570,Assumptions!$A$31:$B$33,2,0),"")</f>
        <v/>
      </c>
      <c r="T570" s="15">
        <f t="shared" si="50"/>
        <v>240.32</v>
      </c>
      <c r="U570" s="15">
        <f t="shared" si="51"/>
        <v>376100.8</v>
      </c>
      <c r="V570" s="15">
        <f t="shared" si="52"/>
        <v>376100.8</v>
      </c>
      <c r="W570" s="15">
        <f t="shared" si="53"/>
        <v>0</v>
      </c>
    </row>
    <row r="571" spans="1:23" ht="15" customHeight="1" x14ac:dyDescent="0.2">
      <c r="A571" s="14" t="s">
        <v>2892</v>
      </c>
      <c r="B571" s="14" t="s">
        <v>2893</v>
      </c>
      <c r="C571" s="14" t="s">
        <v>2119</v>
      </c>
      <c r="D571" s="14" t="s">
        <v>39</v>
      </c>
      <c r="E571" s="14" t="s">
        <v>1988</v>
      </c>
      <c r="F571" s="14">
        <v>2317</v>
      </c>
      <c r="G571" s="15">
        <v>122.34</v>
      </c>
      <c r="H571" s="16">
        <v>45229</v>
      </c>
      <c r="I571" s="16">
        <v>45213</v>
      </c>
      <c r="J571" s="16"/>
      <c r="K571" s="14" t="s">
        <v>2030</v>
      </c>
      <c r="L571" s="16">
        <f>IF(D571="Packaging","",IF(ISNUMBER(J571),J571,IF(ISNUMBER(I571),EDATE(I571,VLOOKUP(D571,Assumptions!$A$10:$B$16,2,0)),"")))</f>
        <v>46309</v>
      </c>
      <c r="M571" s="14">
        <f>IF(ISNUMBER(L571),L571-Assumptions!$B$5,"")</f>
        <v>287</v>
      </c>
      <c r="N571" s="17">
        <f t="shared" si="48"/>
        <v>0</v>
      </c>
      <c r="O571" s="14">
        <f>IF(COUNTIF(Assumptions!$A$25:$A$27,A571)&gt;0,1,0)</f>
        <v>0</v>
      </c>
      <c r="P571" s="14">
        <f>IF(COUNTIF(Assumptions!$B$25:$B$26,A571)&gt;0,1,0)</f>
        <v>0</v>
      </c>
      <c r="Q571" s="14">
        <f>IF(COUNTIF(Assumptions!$C$25:$C$25,A571)&gt;0,1,0)</f>
        <v>0</v>
      </c>
      <c r="R571" s="17">
        <f t="shared" si="49"/>
        <v>0</v>
      </c>
      <c r="S571" s="15" t="str">
        <f>IFERROR(VLOOKUP(A571,Assumptions!$A$31:$B$33,2,0),"")</f>
        <v/>
      </c>
      <c r="T571" s="15">
        <f t="shared" si="50"/>
        <v>122.34</v>
      </c>
      <c r="U571" s="15">
        <f t="shared" si="51"/>
        <v>283461.78000000003</v>
      </c>
      <c r="V571" s="15">
        <f t="shared" si="52"/>
        <v>283461.78000000003</v>
      </c>
      <c r="W571" s="15">
        <f t="shared" si="53"/>
        <v>0</v>
      </c>
    </row>
    <row r="572" spans="1:23" ht="15" customHeight="1" x14ac:dyDescent="0.2">
      <c r="A572" s="14" t="s">
        <v>2894</v>
      </c>
      <c r="B572" s="14" t="s">
        <v>2895</v>
      </c>
      <c r="C572" s="14" t="s">
        <v>2049</v>
      </c>
      <c r="D572" s="14" t="s">
        <v>42</v>
      </c>
      <c r="E572" s="14" t="s">
        <v>2014</v>
      </c>
      <c r="F572" s="14">
        <v>990</v>
      </c>
      <c r="G572" s="15">
        <v>173.36</v>
      </c>
      <c r="H572" s="16">
        <v>45650</v>
      </c>
      <c r="I572" s="16">
        <v>45593</v>
      </c>
      <c r="J572" s="16"/>
      <c r="K572" s="14" t="s">
        <v>2004</v>
      </c>
      <c r="L572" s="16">
        <f>IF(D572="Packaging","",IF(ISNUMBER(J572),J572,IF(ISNUMBER(I572),EDATE(I572,VLOOKUP(D572,Assumptions!$A$10:$B$16,2,0)),"")))</f>
        <v>45958</v>
      </c>
      <c r="M572" s="14">
        <f>IF(ISNUMBER(L572),L572-Assumptions!$B$5,"")</f>
        <v>-64</v>
      </c>
      <c r="N572" s="17">
        <f t="shared" si="48"/>
        <v>1</v>
      </c>
      <c r="O572" s="14">
        <f>IF(COUNTIF(Assumptions!$A$25:$A$27,A572)&gt;0,1,0)</f>
        <v>0</v>
      </c>
      <c r="P572" s="14">
        <f>IF(COUNTIF(Assumptions!$B$25:$B$26,A572)&gt;0,1,0)</f>
        <v>0</v>
      </c>
      <c r="Q572" s="14">
        <f>IF(COUNTIF(Assumptions!$C$25:$C$25,A572)&gt;0,1,0)</f>
        <v>0</v>
      </c>
      <c r="R572" s="17">
        <f t="shared" si="49"/>
        <v>1</v>
      </c>
      <c r="S572" s="15" t="str">
        <f>IFERROR(VLOOKUP(A572,Assumptions!$A$31:$B$33,2,0),"")</f>
        <v/>
      </c>
      <c r="T572" s="15">
        <f t="shared" si="50"/>
        <v>173.36</v>
      </c>
      <c r="U572" s="15">
        <f t="shared" si="51"/>
        <v>171626.40000000002</v>
      </c>
      <c r="V572" s="15">
        <f t="shared" si="52"/>
        <v>0</v>
      </c>
      <c r="W572" s="15">
        <f t="shared" si="53"/>
        <v>171626.40000000002</v>
      </c>
    </row>
    <row r="573" spans="1:23" ht="15" customHeight="1" x14ac:dyDescent="0.2">
      <c r="A573" s="14" t="s">
        <v>2896</v>
      </c>
      <c r="B573" s="14" t="s">
        <v>2897</v>
      </c>
      <c r="C573" s="14" t="s">
        <v>2049</v>
      </c>
      <c r="D573" s="14" t="s">
        <v>42</v>
      </c>
      <c r="E573" s="14" t="s">
        <v>1993</v>
      </c>
      <c r="F573" s="14">
        <v>100</v>
      </c>
      <c r="G573" s="15">
        <v>276.72000000000003</v>
      </c>
      <c r="H573" s="16">
        <v>45964</v>
      </c>
      <c r="I573" s="16">
        <v>46086</v>
      </c>
      <c r="J573" s="16">
        <v>46451</v>
      </c>
      <c r="K573" s="14" t="s">
        <v>2004</v>
      </c>
      <c r="L573" s="16">
        <f>IF(D573="Packaging","",IF(ISNUMBER(J573),J573,IF(ISNUMBER(I573),EDATE(I573,VLOOKUP(D573,Assumptions!$A$10:$B$16,2,0)),"")))</f>
        <v>46451</v>
      </c>
      <c r="M573" s="14">
        <f>IF(ISNUMBER(L573),L573-Assumptions!$B$5,"")</f>
        <v>429</v>
      </c>
      <c r="N573" s="17">
        <f t="shared" si="48"/>
        <v>0</v>
      </c>
      <c r="O573" s="14">
        <f>IF(COUNTIF(Assumptions!$A$25:$A$27,A573)&gt;0,1,0)</f>
        <v>0</v>
      </c>
      <c r="P573" s="14">
        <f>IF(COUNTIF(Assumptions!$B$25:$B$26,A573)&gt;0,1,0)</f>
        <v>0</v>
      </c>
      <c r="Q573" s="14">
        <f>IF(COUNTIF(Assumptions!$C$25:$C$25,A573)&gt;0,1,0)</f>
        <v>0</v>
      </c>
      <c r="R573" s="17">
        <f t="shared" si="49"/>
        <v>0</v>
      </c>
      <c r="S573" s="15" t="str">
        <f>IFERROR(VLOOKUP(A573,Assumptions!$A$31:$B$33,2,0),"")</f>
        <v/>
      </c>
      <c r="T573" s="15">
        <f t="shared" si="50"/>
        <v>276.72000000000003</v>
      </c>
      <c r="U573" s="15">
        <f t="shared" si="51"/>
        <v>27672.000000000004</v>
      </c>
      <c r="V573" s="15">
        <f t="shared" si="52"/>
        <v>27672.000000000004</v>
      </c>
      <c r="W573" s="15">
        <f t="shared" si="53"/>
        <v>0</v>
      </c>
    </row>
    <row r="574" spans="1:23" ht="15" customHeight="1" x14ac:dyDescent="0.2">
      <c r="A574" s="14" t="s">
        <v>2898</v>
      </c>
      <c r="B574" s="14" t="s">
        <v>2899</v>
      </c>
      <c r="C574" s="14" t="s">
        <v>2049</v>
      </c>
      <c r="D574" s="14" t="s">
        <v>42</v>
      </c>
      <c r="E574" s="14" t="s">
        <v>1993</v>
      </c>
      <c r="F574" s="14">
        <v>1764</v>
      </c>
      <c r="G574" s="15">
        <v>24.62</v>
      </c>
      <c r="H574" s="16">
        <v>46017</v>
      </c>
      <c r="I574" s="16">
        <v>46464</v>
      </c>
      <c r="J574" s="16"/>
      <c r="K574" s="14" t="s">
        <v>2030</v>
      </c>
      <c r="L574" s="16">
        <f>IF(D574="Packaging","",IF(ISNUMBER(J574),J574,IF(ISNUMBER(I574),EDATE(I574,VLOOKUP(D574,Assumptions!$A$10:$B$16,2,0)),"")))</f>
        <v>46830</v>
      </c>
      <c r="M574" s="14">
        <f>IF(ISNUMBER(L574),L574-Assumptions!$B$5,"")</f>
        <v>808</v>
      </c>
      <c r="N574" s="17">
        <f t="shared" si="48"/>
        <v>0</v>
      </c>
      <c r="O574" s="14">
        <f>IF(COUNTIF(Assumptions!$A$25:$A$27,A574)&gt;0,1,0)</f>
        <v>0</v>
      </c>
      <c r="P574" s="14">
        <f>IF(COUNTIF(Assumptions!$B$25:$B$26,A574)&gt;0,1,0)</f>
        <v>0</v>
      </c>
      <c r="Q574" s="14">
        <f>IF(COUNTIF(Assumptions!$C$25:$C$25,A574)&gt;0,1,0)</f>
        <v>0</v>
      </c>
      <c r="R574" s="17">
        <f t="shared" si="49"/>
        <v>0</v>
      </c>
      <c r="S574" s="15" t="str">
        <f>IFERROR(VLOOKUP(A574,Assumptions!$A$31:$B$33,2,0),"")</f>
        <v/>
      </c>
      <c r="T574" s="15">
        <f t="shared" si="50"/>
        <v>24.62</v>
      </c>
      <c r="U574" s="15">
        <f t="shared" si="51"/>
        <v>43429.68</v>
      </c>
      <c r="V574" s="15">
        <f t="shared" si="52"/>
        <v>43429.68</v>
      </c>
      <c r="W574" s="15">
        <f t="shared" si="53"/>
        <v>0</v>
      </c>
    </row>
    <row r="575" spans="1:23" ht="15" customHeight="1" x14ac:dyDescent="0.2">
      <c r="A575" s="14" t="s">
        <v>2900</v>
      </c>
      <c r="B575" s="14" t="s">
        <v>2901</v>
      </c>
      <c r="C575" s="14" t="s">
        <v>2066</v>
      </c>
      <c r="D575" s="14" t="s">
        <v>42</v>
      </c>
      <c r="E575" s="14" t="s">
        <v>2037</v>
      </c>
      <c r="F575" s="14">
        <v>4359</v>
      </c>
      <c r="G575" s="15">
        <v>346.6</v>
      </c>
      <c r="H575" s="16">
        <v>45989</v>
      </c>
      <c r="I575" s="16">
        <v>46248</v>
      </c>
      <c r="J575" s="16">
        <v>46613</v>
      </c>
      <c r="K575" s="14" t="s">
        <v>1989</v>
      </c>
      <c r="L575" s="16">
        <f>IF(D575="Packaging","",IF(ISNUMBER(J575),J575,IF(ISNUMBER(I575),EDATE(I575,VLOOKUP(D575,Assumptions!$A$10:$B$16,2,0)),"")))</f>
        <v>46613</v>
      </c>
      <c r="M575" s="14">
        <f>IF(ISNUMBER(L575),L575-Assumptions!$B$5,"")</f>
        <v>591</v>
      </c>
      <c r="N575" s="17">
        <f t="shared" si="48"/>
        <v>0</v>
      </c>
      <c r="O575" s="14">
        <f>IF(COUNTIF(Assumptions!$A$25:$A$27,A575)&gt;0,1,0)</f>
        <v>0</v>
      </c>
      <c r="P575" s="14">
        <f>IF(COUNTIF(Assumptions!$B$25:$B$26,A575)&gt;0,1,0)</f>
        <v>0</v>
      </c>
      <c r="Q575" s="14">
        <f>IF(COUNTIF(Assumptions!$C$25:$C$25,A575)&gt;0,1,0)</f>
        <v>0</v>
      </c>
      <c r="R575" s="17">
        <f t="shared" si="49"/>
        <v>0</v>
      </c>
      <c r="S575" s="15" t="str">
        <f>IFERROR(VLOOKUP(A575,Assumptions!$A$31:$B$33,2,0),"")</f>
        <v/>
      </c>
      <c r="T575" s="15">
        <f t="shared" si="50"/>
        <v>346.6</v>
      </c>
      <c r="U575" s="15">
        <f t="shared" si="51"/>
        <v>1510829.4000000001</v>
      </c>
      <c r="V575" s="15">
        <f t="shared" si="52"/>
        <v>1510829.4000000001</v>
      </c>
      <c r="W575" s="15">
        <f t="shared" si="53"/>
        <v>0</v>
      </c>
    </row>
    <row r="576" spans="1:23" ht="15" customHeight="1" x14ac:dyDescent="0.2">
      <c r="A576" s="14" t="s">
        <v>2902</v>
      </c>
      <c r="B576" s="14" t="s">
        <v>2903</v>
      </c>
      <c r="C576" s="14" t="s">
        <v>1992</v>
      </c>
      <c r="D576" s="14" t="s">
        <v>45</v>
      </c>
      <c r="E576" s="14" t="s">
        <v>2014</v>
      </c>
      <c r="F576" s="14">
        <v>1224</v>
      </c>
      <c r="G576" s="15">
        <v>391.17</v>
      </c>
      <c r="H576" s="16">
        <v>45975</v>
      </c>
      <c r="I576" s="16">
        <v>46445</v>
      </c>
      <c r="J576" s="16"/>
      <c r="K576" s="14" t="s">
        <v>2030</v>
      </c>
      <c r="L576" s="16">
        <f>IF(D576="Packaging","",IF(ISNUMBER(J576),J576,IF(ISNUMBER(I576),EDATE(I576,VLOOKUP(D576,Assumptions!$A$10:$B$16,2,0)),"")))</f>
        <v>46626</v>
      </c>
      <c r="M576" s="14">
        <f>IF(ISNUMBER(L576),L576-Assumptions!$B$5,"")</f>
        <v>604</v>
      </c>
      <c r="N576" s="17">
        <f t="shared" si="48"/>
        <v>0</v>
      </c>
      <c r="O576" s="14">
        <f>IF(COUNTIF(Assumptions!$A$25:$A$27,A576)&gt;0,1,0)</f>
        <v>0</v>
      </c>
      <c r="P576" s="14">
        <f>IF(COUNTIF(Assumptions!$B$25:$B$26,A576)&gt;0,1,0)</f>
        <v>0</v>
      </c>
      <c r="Q576" s="14">
        <f>IF(COUNTIF(Assumptions!$C$25:$C$25,A576)&gt;0,1,0)</f>
        <v>0</v>
      </c>
      <c r="R576" s="17">
        <f t="shared" si="49"/>
        <v>0</v>
      </c>
      <c r="S576" s="15" t="str">
        <f>IFERROR(VLOOKUP(A576,Assumptions!$A$31:$B$33,2,0),"")</f>
        <v/>
      </c>
      <c r="T576" s="15">
        <f t="shared" si="50"/>
        <v>391.17</v>
      </c>
      <c r="U576" s="15">
        <f t="shared" si="51"/>
        <v>478792.08</v>
      </c>
      <c r="V576" s="15">
        <f t="shared" si="52"/>
        <v>478792.08</v>
      </c>
      <c r="W576" s="15">
        <f t="shared" si="53"/>
        <v>0</v>
      </c>
    </row>
    <row r="577" spans="1:23" ht="15" customHeight="1" x14ac:dyDescent="0.2">
      <c r="A577" s="14" t="s">
        <v>2904</v>
      </c>
      <c r="B577" s="14" t="s">
        <v>2905</v>
      </c>
      <c r="C577" s="14" t="s">
        <v>2066</v>
      </c>
      <c r="D577" s="14" t="s">
        <v>42</v>
      </c>
      <c r="E577" s="14" t="s">
        <v>2037</v>
      </c>
      <c r="F577" s="14">
        <v>1659</v>
      </c>
      <c r="G577" s="15">
        <v>177.94</v>
      </c>
      <c r="H577" s="16">
        <v>46014</v>
      </c>
      <c r="I577" s="16">
        <v>46191</v>
      </c>
      <c r="J577" s="16"/>
      <c r="K577" s="14" t="s">
        <v>2004</v>
      </c>
      <c r="L577" s="16">
        <f>IF(D577="Packaging","",IF(ISNUMBER(J577),J577,IF(ISNUMBER(I577),EDATE(I577,VLOOKUP(D577,Assumptions!$A$10:$B$16,2,0)),"")))</f>
        <v>46556</v>
      </c>
      <c r="M577" s="14">
        <f>IF(ISNUMBER(L577),L577-Assumptions!$B$5,"")</f>
        <v>534</v>
      </c>
      <c r="N577" s="17">
        <f t="shared" si="48"/>
        <v>0</v>
      </c>
      <c r="O577" s="14">
        <f>IF(COUNTIF(Assumptions!$A$25:$A$27,A577)&gt;0,1,0)</f>
        <v>0</v>
      </c>
      <c r="P577" s="14">
        <f>IF(COUNTIF(Assumptions!$B$25:$B$26,A577)&gt;0,1,0)</f>
        <v>0</v>
      </c>
      <c r="Q577" s="14">
        <f>IF(COUNTIF(Assumptions!$C$25:$C$25,A577)&gt;0,1,0)</f>
        <v>0</v>
      </c>
      <c r="R577" s="17">
        <f t="shared" si="49"/>
        <v>0</v>
      </c>
      <c r="S577" s="15" t="str">
        <f>IFERROR(VLOOKUP(A577,Assumptions!$A$31:$B$33,2,0),"")</f>
        <v/>
      </c>
      <c r="T577" s="15">
        <f t="shared" si="50"/>
        <v>177.94</v>
      </c>
      <c r="U577" s="15">
        <f t="shared" si="51"/>
        <v>295202.46000000002</v>
      </c>
      <c r="V577" s="15">
        <f t="shared" si="52"/>
        <v>295202.46000000002</v>
      </c>
      <c r="W577" s="15">
        <f t="shared" si="53"/>
        <v>0</v>
      </c>
    </row>
    <row r="578" spans="1:23" ht="15" customHeight="1" x14ac:dyDescent="0.2">
      <c r="A578" s="14" t="s">
        <v>698</v>
      </c>
      <c r="B578" s="14" t="s">
        <v>697</v>
      </c>
      <c r="C578" s="14" t="s">
        <v>2104</v>
      </c>
      <c r="D578" s="14" t="s">
        <v>36</v>
      </c>
      <c r="E578" s="14" t="s">
        <v>1988</v>
      </c>
      <c r="F578" s="14">
        <v>4186</v>
      </c>
      <c r="G578" s="15">
        <v>163.03</v>
      </c>
      <c r="H578" s="16">
        <v>45859</v>
      </c>
      <c r="I578" s="16">
        <v>45829</v>
      </c>
      <c r="J578" s="16">
        <v>46559</v>
      </c>
      <c r="K578" s="14" t="s">
        <v>2030</v>
      </c>
      <c r="L578" s="16">
        <f>IF(D578="Packaging","",IF(ISNUMBER(J578),J578,IF(ISNUMBER(I578),EDATE(I578,VLOOKUP(D578,Assumptions!$A$10:$B$16,2,0)),"")))</f>
        <v>46559</v>
      </c>
      <c r="M578" s="14">
        <f>IF(ISNUMBER(L578),L578-Assumptions!$B$5,"")</f>
        <v>537</v>
      </c>
      <c r="N578" s="17">
        <f t="shared" ref="N578:N601" si="54">IF(D578="Packaging",0,IF(NOT(ISNUMBER(L578)),0,IF(M578&lt;0,1,IF(M578&lt;=90,0.5,IF(M578&lt;=180,0.25,0)))))</f>
        <v>0</v>
      </c>
      <c r="O578" s="14">
        <f>IF(COUNTIF(Assumptions!$A$25:$A$27,A578)&gt;0,1,0)</f>
        <v>0</v>
      </c>
      <c r="P578" s="14">
        <f>IF(COUNTIF(Assumptions!$B$25:$B$26,A578)&gt;0,1,0)</f>
        <v>0</v>
      </c>
      <c r="Q578" s="14">
        <f>IF(COUNTIF(Assumptions!$C$25:$C$25,A578)&gt;0,1,0)</f>
        <v>0</v>
      </c>
      <c r="R578" s="17">
        <f t="shared" ref="R578:R601" si="55">IF(OR(O578=1,Q578=1),1,IF(P578=1,0.5,N578))</f>
        <v>0</v>
      </c>
      <c r="S578" s="15" t="str">
        <f>IFERROR(VLOOKUP(A578,Assumptions!$A$31:$B$33,2,0),"")</f>
        <v/>
      </c>
      <c r="T578" s="15">
        <f t="shared" ref="T578:T601" si="56">IF(S578="",G578,MIN(G578,S578))</f>
        <v>163.03</v>
      </c>
      <c r="U578" s="15">
        <f t="shared" ref="U578:U601" si="57">F578*G578</f>
        <v>682443.58</v>
      </c>
      <c r="V578" s="15">
        <f t="shared" ref="V578:V601" si="58">F578*T578*(1-R578)</f>
        <v>682443.58</v>
      </c>
      <c r="W578" s="15">
        <f t="shared" ref="W578:W601" si="59">U578-V578</f>
        <v>0</v>
      </c>
    </row>
    <row r="579" spans="1:23" ht="15" customHeight="1" x14ac:dyDescent="0.2">
      <c r="A579" s="14" t="s">
        <v>2906</v>
      </c>
      <c r="B579" s="14" t="s">
        <v>2907</v>
      </c>
      <c r="C579" s="14" t="s">
        <v>2049</v>
      </c>
      <c r="D579" s="14" t="s">
        <v>42</v>
      </c>
      <c r="E579" s="14" t="s">
        <v>1988</v>
      </c>
      <c r="F579" s="14">
        <v>3231</v>
      </c>
      <c r="G579" s="15">
        <v>412.4</v>
      </c>
      <c r="H579" s="16">
        <v>46015</v>
      </c>
      <c r="I579" s="16">
        <v>45991</v>
      </c>
      <c r="J579" s="16"/>
      <c r="K579" s="14" t="s">
        <v>2052</v>
      </c>
      <c r="L579" s="16">
        <f>IF(D579="Packaging","",IF(ISNUMBER(J579),J579,IF(ISNUMBER(I579),EDATE(I579,VLOOKUP(D579,Assumptions!$A$10:$B$16,2,0)),"")))</f>
        <v>46356</v>
      </c>
      <c r="M579" s="14">
        <f>IF(ISNUMBER(L579),L579-Assumptions!$B$5,"")</f>
        <v>334</v>
      </c>
      <c r="N579" s="17">
        <f t="shared" si="54"/>
        <v>0</v>
      </c>
      <c r="O579" s="14">
        <f>IF(COUNTIF(Assumptions!$A$25:$A$27,A579)&gt;0,1,0)</f>
        <v>0</v>
      </c>
      <c r="P579" s="14">
        <f>IF(COUNTIF(Assumptions!$B$25:$B$26,A579)&gt;0,1,0)</f>
        <v>0</v>
      </c>
      <c r="Q579" s="14">
        <f>IF(COUNTIF(Assumptions!$C$25:$C$25,A579)&gt;0,1,0)</f>
        <v>0</v>
      </c>
      <c r="R579" s="17">
        <f t="shared" si="55"/>
        <v>0</v>
      </c>
      <c r="S579" s="15" t="str">
        <f>IFERROR(VLOOKUP(A579,Assumptions!$A$31:$B$33,2,0),"")</f>
        <v/>
      </c>
      <c r="T579" s="15">
        <f t="shared" si="56"/>
        <v>412.4</v>
      </c>
      <c r="U579" s="15">
        <f t="shared" si="57"/>
        <v>1332464.3999999999</v>
      </c>
      <c r="V579" s="15">
        <f t="shared" si="58"/>
        <v>1332464.3999999999</v>
      </c>
      <c r="W579" s="15">
        <f t="shared" si="59"/>
        <v>0</v>
      </c>
    </row>
    <row r="580" spans="1:23" ht="15" customHeight="1" x14ac:dyDescent="0.2">
      <c r="A580" s="14" t="s">
        <v>711</v>
      </c>
      <c r="B580" s="14" t="s">
        <v>710</v>
      </c>
      <c r="C580" s="14" t="s">
        <v>2104</v>
      </c>
      <c r="D580" s="14" t="s">
        <v>36</v>
      </c>
      <c r="E580" s="14" t="s">
        <v>1993</v>
      </c>
      <c r="F580" s="14">
        <v>3515</v>
      </c>
      <c r="G580" s="15">
        <v>36.46</v>
      </c>
      <c r="H580" s="16">
        <v>45770</v>
      </c>
      <c r="I580" s="16">
        <v>45746</v>
      </c>
      <c r="J580" s="16">
        <v>46476</v>
      </c>
      <c r="K580" s="14" t="s">
        <v>2030</v>
      </c>
      <c r="L580" s="16">
        <f>IF(D580="Packaging","",IF(ISNUMBER(J580),J580,IF(ISNUMBER(I580),EDATE(I580,VLOOKUP(D580,Assumptions!$A$10:$B$16,2,0)),"")))</f>
        <v>46476</v>
      </c>
      <c r="M580" s="14">
        <f>IF(ISNUMBER(L580),L580-Assumptions!$B$5,"")</f>
        <v>454</v>
      </c>
      <c r="N580" s="17">
        <f t="shared" si="54"/>
        <v>0</v>
      </c>
      <c r="O580" s="14">
        <f>IF(COUNTIF(Assumptions!$A$25:$A$27,A580)&gt;0,1,0)</f>
        <v>0</v>
      </c>
      <c r="P580" s="14">
        <f>IF(COUNTIF(Assumptions!$B$25:$B$26,A580)&gt;0,1,0)</f>
        <v>0</v>
      </c>
      <c r="Q580" s="14">
        <f>IF(COUNTIF(Assumptions!$C$25:$C$25,A580)&gt;0,1,0)</f>
        <v>0</v>
      </c>
      <c r="R580" s="17">
        <f t="shared" si="55"/>
        <v>0</v>
      </c>
      <c r="S580" s="15" t="str">
        <f>IFERROR(VLOOKUP(A580,Assumptions!$A$31:$B$33,2,0),"")</f>
        <v/>
      </c>
      <c r="T580" s="15">
        <f t="shared" si="56"/>
        <v>36.46</v>
      </c>
      <c r="U580" s="15">
        <f t="shared" si="57"/>
        <v>128156.90000000001</v>
      </c>
      <c r="V580" s="15">
        <f t="shared" si="58"/>
        <v>128156.90000000001</v>
      </c>
      <c r="W580" s="15">
        <f t="shared" si="59"/>
        <v>0</v>
      </c>
    </row>
    <row r="581" spans="1:23" ht="15" customHeight="1" x14ac:dyDescent="0.2">
      <c r="A581" s="14" t="s">
        <v>2908</v>
      </c>
      <c r="B581" s="14" t="s">
        <v>2909</v>
      </c>
      <c r="C581" s="14" t="s">
        <v>2061</v>
      </c>
      <c r="D581" s="14" t="s">
        <v>44</v>
      </c>
      <c r="E581" s="14" t="s">
        <v>2014</v>
      </c>
      <c r="F581" s="14">
        <v>1024</v>
      </c>
      <c r="G581" s="15">
        <v>368.95</v>
      </c>
      <c r="H581" s="16">
        <v>45978</v>
      </c>
      <c r="I581" s="16">
        <v>45888</v>
      </c>
      <c r="J581" s="16">
        <v>46437</v>
      </c>
      <c r="K581" s="14" t="s">
        <v>2021</v>
      </c>
      <c r="L581" s="16">
        <f>IF(D581="Packaging","",IF(ISNUMBER(J581),J581,IF(ISNUMBER(I581),EDATE(I581,VLOOKUP(D581,Assumptions!$A$10:$B$16,2,0)),"")))</f>
        <v>46437</v>
      </c>
      <c r="M581" s="14">
        <f>IF(ISNUMBER(L581),L581-Assumptions!$B$5,"")</f>
        <v>415</v>
      </c>
      <c r="N581" s="17">
        <f t="shared" si="54"/>
        <v>0</v>
      </c>
      <c r="O581" s="14">
        <f>IF(COUNTIF(Assumptions!$A$25:$A$27,A581)&gt;0,1,0)</f>
        <v>0</v>
      </c>
      <c r="P581" s="14">
        <f>IF(COUNTIF(Assumptions!$B$25:$B$26,A581)&gt;0,1,0)</f>
        <v>0</v>
      </c>
      <c r="Q581" s="14">
        <f>IF(COUNTIF(Assumptions!$C$25:$C$25,A581)&gt;0,1,0)</f>
        <v>0</v>
      </c>
      <c r="R581" s="17">
        <f t="shared" si="55"/>
        <v>0</v>
      </c>
      <c r="S581" s="15" t="str">
        <f>IFERROR(VLOOKUP(A581,Assumptions!$A$31:$B$33,2,0),"")</f>
        <v/>
      </c>
      <c r="T581" s="15">
        <f t="shared" si="56"/>
        <v>368.95</v>
      </c>
      <c r="U581" s="15">
        <f t="shared" si="57"/>
        <v>377804.79999999999</v>
      </c>
      <c r="V581" s="15">
        <f t="shared" si="58"/>
        <v>377804.79999999999</v>
      </c>
      <c r="W581" s="15">
        <f t="shared" si="59"/>
        <v>0</v>
      </c>
    </row>
    <row r="582" spans="1:23" ht="15" customHeight="1" x14ac:dyDescent="0.2">
      <c r="A582" s="14" t="s">
        <v>2910</v>
      </c>
      <c r="B582" s="14" t="s">
        <v>2911</v>
      </c>
      <c r="C582" s="14" t="s">
        <v>2219</v>
      </c>
      <c r="D582" s="14" t="s">
        <v>42</v>
      </c>
      <c r="E582" s="14" t="s">
        <v>2014</v>
      </c>
      <c r="F582" s="14">
        <v>4714</v>
      </c>
      <c r="G582" s="15">
        <v>51.44</v>
      </c>
      <c r="H582" s="16">
        <v>45962</v>
      </c>
      <c r="I582" s="16">
        <v>46202</v>
      </c>
      <c r="J582" s="16">
        <v>46567</v>
      </c>
      <c r="K582" s="14" t="s">
        <v>1994</v>
      </c>
      <c r="L582" s="16">
        <f>IF(D582="Packaging","",IF(ISNUMBER(J582),J582,IF(ISNUMBER(I582),EDATE(I582,VLOOKUP(D582,Assumptions!$A$10:$B$16,2,0)),"")))</f>
        <v>46567</v>
      </c>
      <c r="M582" s="14">
        <f>IF(ISNUMBER(L582),L582-Assumptions!$B$5,"")</f>
        <v>545</v>
      </c>
      <c r="N582" s="17">
        <f t="shared" si="54"/>
        <v>0</v>
      </c>
      <c r="O582" s="14">
        <f>IF(COUNTIF(Assumptions!$A$25:$A$27,A582)&gt;0,1,0)</f>
        <v>0</v>
      </c>
      <c r="P582" s="14">
        <f>IF(COUNTIF(Assumptions!$B$25:$B$26,A582)&gt;0,1,0)</f>
        <v>0</v>
      </c>
      <c r="Q582" s="14">
        <f>IF(COUNTIF(Assumptions!$C$25:$C$25,A582)&gt;0,1,0)</f>
        <v>0</v>
      </c>
      <c r="R582" s="17">
        <f t="shared" si="55"/>
        <v>0</v>
      </c>
      <c r="S582" s="15" t="str">
        <f>IFERROR(VLOOKUP(A582,Assumptions!$A$31:$B$33,2,0),"")</f>
        <v/>
      </c>
      <c r="T582" s="15">
        <f t="shared" si="56"/>
        <v>51.44</v>
      </c>
      <c r="U582" s="15">
        <f t="shared" si="57"/>
        <v>242488.16</v>
      </c>
      <c r="V582" s="15">
        <f t="shared" si="58"/>
        <v>242488.16</v>
      </c>
      <c r="W582" s="15">
        <f t="shared" si="59"/>
        <v>0</v>
      </c>
    </row>
    <row r="583" spans="1:23" ht="15" customHeight="1" x14ac:dyDescent="0.2">
      <c r="A583" s="14" t="s">
        <v>2912</v>
      </c>
      <c r="B583" s="14" t="s">
        <v>2913</v>
      </c>
      <c r="C583" s="14" t="s">
        <v>2089</v>
      </c>
      <c r="D583" s="14" t="s">
        <v>46</v>
      </c>
      <c r="E583" s="14" t="s">
        <v>2037</v>
      </c>
      <c r="F583" s="14">
        <v>794</v>
      </c>
      <c r="G583" s="15">
        <v>83.73</v>
      </c>
      <c r="H583" s="16">
        <v>45994</v>
      </c>
      <c r="I583" s="16">
        <v>46402</v>
      </c>
      <c r="J583" s="16"/>
      <c r="K583" s="14" t="s">
        <v>2015</v>
      </c>
      <c r="L583" s="16">
        <f>IF(D583="Packaging","",IF(ISNUMBER(J583),J583,IF(ISNUMBER(I583),EDATE(I583,VLOOKUP(D583,Assumptions!$A$10:$B$16,2,0)),"")))</f>
        <v>46675</v>
      </c>
      <c r="M583" s="14">
        <f>IF(ISNUMBER(L583),L583-Assumptions!$B$5,"")</f>
        <v>653</v>
      </c>
      <c r="N583" s="17">
        <f t="shared" si="54"/>
        <v>0</v>
      </c>
      <c r="O583" s="14">
        <f>IF(COUNTIF(Assumptions!$A$25:$A$27,A583)&gt;0,1,0)</f>
        <v>0</v>
      </c>
      <c r="P583" s="14">
        <f>IF(COUNTIF(Assumptions!$B$25:$B$26,A583)&gt;0,1,0)</f>
        <v>0</v>
      </c>
      <c r="Q583" s="14">
        <f>IF(COUNTIF(Assumptions!$C$25:$C$25,A583)&gt;0,1,0)</f>
        <v>0</v>
      </c>
      <c r="R583" s="17">
        <f t="shared" si="55"/>
        <v>0</v>
      </c>
      <c r="S583" s="15" t="str">
        <f>IFERROR(VLOOKUP(A583,Assumptions!$A$31:$B$33,2,0),"")</f>
        <v/>
      </c>
      <c r="T583" s="15">
        <f t="shared" si="56"/>
        <v>83.73</v>
      </c>
      <c r="U583" s="15">
        <f t="shared" si="57"/>
        <v>66481.62000000001</v>
      </c>
      <c r="V583" s="15">
        <f t="shared" si="58"/>
        <v>66481.62000000001</v>
      </c>
      <c r="W583" s="15">
        <f t="shared" si="59"/>
        <v>0</v>
      </c>
    </row>
    <row r="584" spans="1:23" ht="15" customHeight="1" x14ac:dyDescent="0.2">
      <c r="A584" s="14" t="s">
        <v>2914</v>
      </c>
      <c r="B584" s="14" t="s">
        <v>2915</v>
      </c>
      <c r="C584" s="14" t="s">
        <v>1426</v>
      </c>
      <c r="D584" s="14" t="s">
        <v>44</v>
      </c>
      <c r="E584" s="14" t="s">
        <v>1993</v>
      </c>
      <c r="F584" s="14">
        <v>3148</v>
      </c>
      <c r="G584" s="15">
        <v>296.87</v>
      </c>
      <c r="H584" s="16">
        <v>46003</v>
      </c>
      <c r="I584" s="16">
        <v>46032</v>
      </c>
      <c r="J584" s="16"/>
      <c r="K584" s="14" t="s">
        <v>2030</v>
      </c>
      <c r="L584" s="16">
        <f>IF(D584="Packaging","",IF(ISNUMBER(J584),J584,IF(ISNUMBER(I584),EDATE(I584,VLOOKUP(D584,Assumptions!$A$10:$B$16,2,0)),"")))</f>
        <v>46578</v>
      </c>
      <c r="M584" s="14">
        <f>IF(ISNUMBER(L584),L584-Assumptions!$B$5,"")</f>
        <v>556</v>
      </c>
      <c r="N584" s="17">
        <f t="shared" si="54"/>
        <v>0</v>
      </c>
      <c r="O584" s="14">
        <f>IF(COUNTIF(Assumptions!$A$25:$A$27,A584)&gt;0,1,0)</f>
        <v>0</v>
      </c>
      <c r="P584" s="14">
        <f>IF(COUNTIF(Assumptions!$B$25:$B$26,A584)&gt;0,1,0)</f>
        <v>0</v>
      </c>
      <c r="Q584" s="14">
        <f>IF(COUNTIF(Assumptions!$C$25:$C$25,A584)&gt;0,1,0)</f>
        <v>0</v>
      </c>
      <c r="R584" s="17">
        <f t="shared" si="55"/>
        <v>0</v>
      </c>
      <c r="S584" s="15" t="str">
        <f>IFERROR(VLOOKUP(A584,Assumptions!$A$31:$B$33,2,0),"")</f>
        <v/>
      </c>
      <c r="T584" s="15">
        <f t="shared" si="56"/>
        <v>296.87</v>
      </c>
      <c r="U584" s="15">
        <f t="shared" si="57"/>
        <v>934546.76</v>
      </c>
      <c r="V584" s="15">
        <f t="shared" si="58"/>
        <v>934546.76</v>
      </c>
      <c r="W584" s="15">
        <f t="shared" si="59"/>
        <v>0</v>
      </c>
    </row>
    <row r="585" spans="1:23" ht="15" customHeight="1" x14ac:dyDescent="0.2">
      <c r="A585" s="14" t="s">
        <v>2916</v>
      </c>
      <c r="B585" s="14" t="s">
        <v>2917</v>
      </c>
      <c r="C585" s="14" t="s">
        <v>2119</v>
      </c>
      <c r="D585" s="14" t="s">
        <v>39</v>
      </c>
      <c r="E585" s="14" t="s">
        <v>2037</v>
      </c>
      <c r="F585" s="14">
        <v>68</v>
      </c>
      <c r="G585" s="15">
        <v>181.36</v>
      </c>
      <c r="H585" s="16">
        <v>45483</v>
      </c>
      <c r="I585" s="16">
        <v>45459</v>
      </c>
      <c r="J585" s="16">
        <v>46554</v>
      </c>
      <c r="K585" s="14" t="s">
        <v>2004</v>
      </c>
      <c r="L585" s="16">
        <f>IF(D585="Packaging","",IF(ISNUMBER(J585),J585,IF(ISNUMBER(I585),EDATE(I585,VLOOKUP(D585,Assumptions!$A$10:$B$16,2,0)),"")))</f>
        <v>46554</v>
      </c>
      <c r="M585" s="14">
        <f>IF(ISNUMBER(L585),L585-Assumptions!$B$5,"")</f>
        <v>532</v>
      </c>
      <c r="N585" s="17">
        <f t="shared" si="54"/>
        <v>0</v>
      </c>
      <c r="O585" s="14">
        <f>IF(COUNTIF(Assumptions!$A$25:$A$27,A585)&gt;0,1,0)</f>
        <v>0</v>
      </c>
      <c r="P585" s="14">
        <f>IF(COUNTIF(Assumptions!$B$25:$B$26,A585)&gt;0,1,0)</f>
        <v>0</v>
      </c>
      <c r="Q585" s="14">
        <f>IF(COUNTIF(Assumptions!$C$25:$C$25,A585)&gt;0,1,0)</f>
        <v>0</v>
      </c>
      <c r="R585" s="17">
        <f t="shared" si="55"/>
        <v>0</v>
      </c>
      <c r="S585" s="15" t="str">
        <f>IFERROR(VLOOKUP(A585,Assumptions!$A$31:$B$33,2,0),"")</f>
        <v/>
      </c>
      <c r="T585" s="15">
        <f t="shared" si="56"/>
        <v>181.36</v>
      </c>
      <c r="U585" s="15">
        <f t="shared" si="57"/>
        <v>12332.480000000001</v>
      </c>
      <c r="V585" s="15">
        <f t="shared" si="58"/>
        <v>12332.480000000001</v>
      </c>
      <c r="W585" s="15">
        <f t="shared" si="59"/>
        <v>0</v>
      </c>
    </row>
    <row r="586" spans="1:23" ht="15" customHeight="1" x14ac:dyDescent="0.2">
      <c r="A586" s="14" t="s">
        <v>2918</v>
      </c>
      <c r="B586" s="14" t="s">
        <v>2919</v>
      </c>
      <c r="C586" s="14" t="s">
        <v>2108</v>
      </c>
      <c r="D586" s="14" t="s">
        <v>39</v>
      </c>
      <c r="E586" s="14" t="s">
        <v>1993</v>
      </c>
      <c r="F586" s="14">
        <v>1598</v>
      </c>
      <c r="G586" s="15">
        <v>385.96</v>
      </c>
      <c r="H586" s="16">
        <v>45724</v>
      </c>
      <c r="I586" s="16">
        <v>45656</v>
      </c>
      <c r="J586" s="16"/>
      <c r="K586" s="14" t="s">
        <v>2021</v>
      </c>
      <c r="L586" s="16">
        <f>IF(D586="Packaging","",IF(ISNUMBER(J586),J586,IF(ISNUMBER(I586),EDATE(I586,VLOOKUP(D586,Assumptions!$A$10:$B$16,2,0)),"")))</f>
        <v>46751</v>
      </c>
      <c r="M586" s="14">
        <f>IF(ISNUMBER(L586),L586-Assumptions!$B$5,"")</f>
        <v>729</v>
      </c>
      <c r="N586" s="17">
        <f t="shared" si="54"/>
        <v>0</v>
      </c>
      <c r="O586" s="14">
        <f>IF(COUNTIF(Assumptions!$A$25:$A$27,A586)&gt;0,1,0)</f>
        <v>0</v>
      </c>
      <c r="P586" s="14">
        <f>IF(COUNTIF(Assumptions!$B$25:$B$26,A586)&gt;0,1,0)</f>
        <v>0</v>
      </c>
      <c r="Q586" s="14">
        <f>IF(COUNTIF(Assumptions!$C$25:$C$25,A586)&gt;0,1,0)</f>
        <v>0</v>
      </c>
      <c r="R586" s="17">
        <f t="shared" si="55"/>
        <v>0</v>
      </c>
      <c r="S586" s="15" t="str">
        <f>IFERROR(VLOOKUP(A586,Assumptions!$A$31:$B$33,2,0),"")</f>
        <v/>
      </c>
      <c r="T586" s="15">
        <f t="shared" si="56"/>
        <v>385.96</v>
      </c>
      <c r="U586" s="15">
        <f t="shared" si="57"/>
        <v>616764.07999999996</v>
      </c>
      <c r="V586" s="15">
        <f t="shared" si="58"/>
        <v>616764.07999999996</v>
      </c>
      <c r="W586" s="15">
        <f t="shared" si="59"/>
        <v>0</v>
      </c>
    </row>
    <row r="587" spans="1:23" ht="15" customHeight="1" x14ac:dyDescent="0.2">
      <c r="A587" s="14" t="s">
        <v>2920</v>
      </c>
      <c r="B587" s="14" t="s">
        <v>2921</v>
      </c>
      <c r="C587" s="14" t="s">
        <v>2007</v>
      </c>
      <c r="D587" s="14" t="s">
        <v>47</v>
      </c>
      <c r="E587" s="14" t="s">
        <v>2037</v>
      </c>
      <c r="F587" s="14">
        <v>4530</v>
      </c>
      <c r="G587" s="15">
        <v>91.49</v>
      </c>
      <c r="H587" s="16">
        <v>45713</v>
      </c>
      <c r="I587" s="16">
        <v>45678</v>
      </c>
      <c r="J587" s="16"/>
      <c r="K587" s="14" t="s">
        <v>2004</v>
      </c>
      <c r="L587" s="16" t="str">
        <f>IF(D587="Packaging","",IF(ISNUMBER(J587),J587,IF(ISNUMBER(I587),EDATE(I587,VLOOKUP(D587,Assumptions!$A$10:$B$16,2,0)),"")))</f>
        <v/>
      </c>
      <c r="M587" s="14" t="str">
        <f>IF(ISNUMBER(L587),L587-Assumptions!$B$5,"")</f>
        <v/>
      </c>
      <c r="N587" s="17">
        <f t="shared" si="54"/>
        <v>0</v>
      </c>
      <c r="O587" s="14">
        <f>IF(COUNTIF(Assumptions!$A$25:$A$27,A587)&gt;0,1,0)</f>
        <v>0</v>
      </c>
      <c r="P587" s="14">
        <f>IF(COUNTIF(Assumptions!$B$25:$B$26,A587)&gt;0,1,0)</f>
        <v>0</v>
      </c>
      <c r="Q587" s="14">
        <f>IF(COUNTIF(Assumptions!$C$25:$C$25,A587)&gt;0,1,0)</f>
        <v>0</v>
      </c>
      <c r="R587" s="17">
        <f t="shared" si="55"/>
        <v>0</v>
      </c>
      <c r="S587" s="15" t="str">
        <f>IFERROR(VLOOKUP(A587,Assumptions!$A$31:$B$33,2,0),"")</f>
        <v/>
      </c>
      <c r="T587" s="15">
        <f t="shared" si="56"/>
        <v>91.49</v>
      </c>
      <c r="U587" s="15">
        <f t="shared" si="57"/>
        <v>414449.69999999995</v>
      </c>
      <c r="V587" s="15">
        <f t="shared" si="58"/>
        <v>414449.69999999995</v>
      </c>
      <c r="W587" s="15">
        <f t="shared" si="59"/>
        <v>0</v>
      </c>
    </row>
    <row r="588" spans="1:23" ht="15" customHeight="1" x14ac:dyDescent="0.2">
      <c r="A588" s="14" t="s">
        <v>2922</v>
      </c>
      <c r="B588" s="14" t="s">
        <v>2923</v>
      </c>
      <c r="C588" s="14" t="s">
        <v>2094</v>
      </c>
      <c r="D588" s="14" t="s">
        <v>47</v>
      </c>
      <c r="E588" s="14" t="s">
        <v>1988</v>
      </c>
      <c r="F588" s="14">
        <v>2083</v>
      </c>
      <c r="G588" s="15">
        <v>248.79</v>
      </c>
      <c r="H588" s="16">
        <v>45437</v>
      </c>
      <c r="I588" s="16">
        <v>45385</v>
      </c>
      <c r="J588" s="16"/>
      <c r="K588" s="14" t="s">
        <v>2030</v>
      </c>
      <c r="L588" s="16" t="str">
        <f>IF(D588="Packaging","",IF(ISNUMBER(J588),J588,IF(ISNUMBER(I588),EDATE(I588,VLOOKUP(D588,Assumptions!$A$10:$B$16,2,0)),"")))</f>
        <v/>
      </c>
      <c r="M588" s="14" t="str">
        <f>IF(ISNUMBER(L588),L588-Assumptions!$B$5,"")</f>
        <v/>
      </c>
      <c r="N588" s="17">
        <f t="shared" si="54"/>
        <v>0</v>
      </c>
      <c r="O588" s="14">
        <f>IF(COUNTIF(Assumptions!$A$25:$A$27,A588)&gt;0,1,0)</f>
        <v>0</v>
      </c>
      <c r="P588" s="14">
        <f>IF(COUNTIF(Assumptions!$B$25:$B$26,A588)&gt;0,1,0)</f>
        <v>0</v>
      </c>
      <c r="Q588" s="14">
        <f>IF(COUNTIF(Assumptions!$C$25:$C$25,A588)&gt;0,1,0)</f>
        <v>0</v>
      </c>
      <c r="R588" s="17">
        <f t="shared" si="55"/>
        <v>0</v>
      </c>
      <c r="S588" s="15" t="str">
        <f>IFERROR(VLOOKUP(A588,Assumptions!$A$31:$B$33,2,0),"")</f>
        <v/>
      </c>
      <c r="T588" s="15">
        <f t="shared" si="56"/>
        <v>248.79</v>
      </c>
      <c r="U588" s="15">
        <f t="shared" si="57"/>
        <v>518229.57</v>
      </c>
      <c r="V588" s="15">
        <f t="shared" si="58"/>
        <v>518229.57</v>
      </c>
      <c r="W588" s="15">
        <f t="shared" si="59"/>
        <v>0</v>
      </c>
    </row>
    <row r="589" spans="1:23" ht="15" customHeight="1" x14ac:dyDescent="0.2">
      <c r="A589" s="14" t="s">
        <v>2924</v>
      </c>
      <c r="B589" s="14" t="s">
        <v>2925</v>
      </c>
      <c r="C589" s="14" t="s">
        <v>2137</v>
      </c>
      <c r="D589" s="14" t="s">
        <v>36</v>
      </c>
      <c r="E589" s="14" t="s">
        <v>1993</v>
      </c>
      <c r="F589" s="14">
        <v>1960</v>
      </c>
      <c r="G589" s="15">
        <v>171.68</v>
      </c>
      <c r="H589" s="16">
        <v>45974</v>
      </c>
      <c r="I589" s="16">
        <v>46036</v>
      </c>
      <c r="J589" s="16">
        <v>46766</v>
      </c>
      <c r="K589" s="14" t="s">
        <v>2015</v>
      </c>
      <c r="L589" s="16">
        <f>IF(D589="Packaging","",IF(ISNUMBER(J589),J589,IF(ISNUMBER(I589),EDATE(I589,VLOOKUP(D589,Assumptions!$A$10:$B$16,2,0)),"")))</f>
        <v>46766</v>
      </c>
      <c r="M589" s="14">
        <f>IF(ISNUMBER(L589),L589-Assumptions!$B$5,"")</f>
        <v>744</v>
      </c>
      <c r="N589" s="17">
        <f t="shared" si="54"/>
        <v>0</v>
      </c>
      <c r="O589" s="14">
        <f>IF(COUNTIF(Assumptions!$A$25:$A$27,A589)&gt;0,1,0)</f>
        <v>0</v>
      </c>
      <c r="P589" s="14">
        <f>IF(COUNTIF(Assumptions!$B$25:$B$26,A589)&gt;0,1,0)</f>
        <v>0</v>
      </c>
      <c r="Q589" s="14">
        <f>IF(COUNTIF(Assumptions!$C$25:$C$25,A589)&gt;0,1,0)</f>
        <v>0</v>
      </c>
      <c r="R589" s="17">
        <f t="shared" si="55"/>
        <v>0</v>
      </c>
      <c r="S589" s="15" t="str">
        <f>IFERROR(VLOOKUP(A589,Assumptions!$A$31:$B$33,2,0),"")</f>
        <v/>
      </c>
      <c r="T589" s="15">
        <f t="shared" si="56"/>
        <v>171.68</v>
      </c>
      <c r="U589" s="15">
        <f t="shared" si="57"/>
        <v>336492.79999999999</v>
      </c>
      <c r="V589" s="15">
        <f t="shared" si="58"/>
        <v>336492.79999999999</v>
      </c>
      <c r="W589" s="15">
        <f t="shared" si="59"/>
        <v>0</v>
      </c>
    </row>
    <row r="590" spans="1:23" ht="15" customHeight="1" x14ac:dyDescent="0.2">
      <c r="A590" s="14" t="s">
        <v>2926</v>
      </c>
      <c r="B590" s="14" t="s">
        <v>2869</v>
      </c>
      <c r="C590" s="14" t="s">
        <v>2219</v>
      </c>
      <c r="D590" s="14" t="s">
        <v>42</v>
      </c>
      <c r="E590" s="14" t="s">
        <v>2014</v>
      </c>
      <c r="F590" s="14">
        <v>1150</v>
      </c>
      <c r="G590" s="15">
        <v>326.48</v>
      </c>
      <c r="H590" s="16">
        <v>45996</v>
      </c>
      <c r="I590" s="16">
        <v>45964</v>
      </c>
      <c r="J590" s="16">
        <v>46329</v>
      </c>
      <c r="K590" s="14" t="s">
        <v>2004</v>
      </c>
      <c r="L590" s="16">
        <f>IF(D590="Packaging","",IF(ISNUMBER(J590),J590,IF(ISNUMBER(I590),EDATE(I590,VLOOKUP(D590,Assumptions!$A$10:$B$16,2,0)),"")))</f>
        <v>46329</v>
      </c>
      <c r="M590" s="14">
        <f>IF(ISNUMBER(L590),L590-Assumptions!$B$5,"")</f>
        <v>307</v>
      </c>
      <c r="N590" s="17">
        <f t="shared" si="54"/>
        <v>0</v>
      </c>
      <c r="O590" s="14">
        <f>IF(COUNTIF(Assumptions!$A$25:$A$27,A590)&gt;0,1,0)</f>
        <v>0</v>
      </c>
      <c r="P590" s="14">
        <f>IF(COUNTIF(Assumptions!$B$25:$B$26,A590)&gt;0,1,0)</f>
        <v>0</v>
      </c>
      <c r="Q590" s="14">
        <f>IF(COUNTIF(Assumptions!$C$25:$C$25,A590)&gt;0,1,0)</f>
        <v>0</v>
      </c>
      <c r="R590" s="17">
        <f t="shared" si="55"/>
        <v>0</v>
      </c>
      <c r="S590" s="15" t="str">
        <f>IFERROR(VLOOKUP(A590,Assumptions!$A$31:$B$33,2,0),"")</f>
        <v/>
      </c>
      <c r="T590" s="15">
        <f t="shared" si="56"/>
        <v>326.48</v>
      </c>
      <c r="U590" s="15">
        <f t="shared" si="57"/>
        <v>375452</v>
      </c>
      <c r="V590" s="15">
        <f t="shared" si="58"/>
        <v>375452</v>
      </c>
      <c r="W590" s="15">
        <f t="shared" si="59"/>
        <v>0</v>
      </c>
    </row>
    <row r="591" spans="1:23" ht="15" customHeight="1" x14ac:dyDescent="0.2">
      <c r="A591" s="14" t="s">
        <v>2927</v>
      </c>
      <c r="B591" s="14" t="s">
        <v>2928</v>
      </c>
      <c r="C591" s="14" t="s">
        <v>2042</v>
      </c>
      <c r="D591" s="14" t="s">
        <v>47</v>
      </c>
      <c r="E591" s="14" t="s">
        <v>2014</v>
      </c>
      <c r="F591" s="14">
        <v>214</v>
      </c>
      <c r="G591" s="15">
        <v>399.2</v>
      </c>
      <c r="H591" s="16">
        <v>45530</v>
      </c>
      <c r="I591" s="16">
        <v>45453</v>
      </c>
      <c r="J591" s="16"/>
      <c r="K591" s="14" t="s">
        <v>2004</v>
      </c>
      <c r="L591" s="16" t="str">
        <f>IF(D591="Packaging","",IF(ISNUMBER(J591),J591,IF(ISNUMBER(I591),EDATE(I591,VLOOKUP(D591,Assumptions!$A$10:$B$16,2,0)),"")))</f>
        <v/>
      </c>
      <c r="M591" s="14" t="str">
        <f>IF(ISNUMBER(L591),L591-Assumptions!$B$5,"")</f>
        <v/>
      </c>
      <c r="N591" s="17">
        <f t="shared" si="54"/>
        <v>0</v>
      </c>
      <c r="O591" s="14">
        <f>IF(COUNTIF(Assumptions!$A$25:$A$27,A591)&gt;0,1,0)</f>
        <v>0</v>
      </c>
      <c r="P591" s="14">
        <f>IF(COUNTIF(Assumptions!$B$25:$B$26,A591)&gt;0,1,0)</f>
        <v>0</v>
      </c>
      <c r="Q591" s="14">
        <f>IF(COUNTIF(Assumptions!$C$25:$C$25,A591)&gt;0,1,0)</f>
        <v>0</v>
      </c>
      <c r="R591" s="17">
        <f t="shared" si="55"/>
        <v>0</v>
      </c>
      <c r="S591" s="15" t="str">
        <f>IFERROR(VLOOKUP(A591,Assumptions!$A$31:$B$33,2,0),"")</f>
        <v/>
      </c>
      <c r="T591" s="15">
        <f t="shared" si="56"/>
        <v>399.2</v>
      </c>
      <c r="U591" s="15">
        <f t="shared" si="57"/>
        <v>85428.800000000003</v>
      </c>
      <c r="V591" s="15">
        <f t="shared" si="58"/>
        <v>85428.800000000003</v>
      </c>
      <c r="W591" s="15">
        <f t="shared" si="59"/>
        <v>0</v>
      </c>
    </row>
    <row r="592" spans="1:23" ht="15" customHeight="1" x14ac:dyDescent="0.2">
      <c r="A592" s="14" t="s">
        <v>2929</v>
      </c>
      <c r="B592" s="14" t="s">
        <v>2930</v>
      </c>
      <c r="C592" s="14" t="s">
        <v>2033</v>
      </c>
      <c r="D592" s="14" t="s">
        <v>47</v>
      </c>
      <c r="E592" s="14" t="s">
        <v>2037</v>
      </c>
      <c r="F592" s="14">
        <v>3901</v>
      </c>
      <c r="G592" s="15">
        <v>118.23</v>
      </c>
      <c r="H592" s="16">
        <v>45574</v>
      </c>
      <c r="I592" s="16">
        <v>45492</v>
      </c>
      <c r="J592" s="16"/>
      <c r="K592" s="14" t="s">
        <v>2052</v>
      </c>
      <c r="L592" s="16" t="str">
        <f>IF(D592="Packaging","",IF(ISNUMBER(J592),J592,IF(ISNUMBER(I592),EDATE(I592,VLOOKUP(D592,Assumptions!$A$10:$B$16,2,0)),"")))</f>
        <v/>
      </c>
      <c r="M592" s="14" t="str">
        <f>IF(ISNUMBER(L592),L592-Assumptions!$B$5,"")</f>
        <v/>
      </c>
      <c r="N592" s="17">
        <f t="shared" si="54"/>
        <v>0</v>
      </c>
      <c r="O592" s="14">
        <f>IF(COUNTIF(Assumptions!$A$25:$A$27,A592)&gt;0,1,0)</f>
        <v>0</v>
      </c>
      <c r="P592" s="14">
        <f>IF(COUNTIF(Assumptions!$B$25:$B$26,A592)&gt;0,1,0)</f>
        <v>0</v>
      </c>
      <c r="Q592" s="14">
        <f>IF(COUNTIF(Assumptions!$C$25:$C$25,A592)&gt;0,1,0)</f>
        <v>0</v>
      </c>
      <c r="R592" s="17">
        <f t="shared" si="55"/>
        <v>0</v>
      </c>
      <c r="S592" s="15" t="str">
        <f>IFERROR(VLOOKUP(A592,Assumptions!$A$31:$B$33,2,0),"")</f>
        <v/>
      </c>
      <c r="T592" s="15">
        <f t="shared" si="56"/>
        <v>118.23</v>
      </c>
      <c r="U592" s="15">
        <f t="shared" si="57"/>
        <v>461215.23000000004</v>
      </c>
      <c r="V592" s="15">
        <f t="shared" si="58"/>
        <v>461215.23000000004</v>
      </c>
      <c r="W592" s="15">
        <f t="shared" si="59"/>
        <v>0</v>
      </c>
    </row>
    <row r="593" spans="1:23" ht="15" customHeight="1" x14ac:dyDescent="0.2">
      <c r="A593" s="14" t="s">
        <v>2931</v>
      </c>
      <c r="B593" s="14" t="s">
        <v>2932</v>
      </c>
      <c r="C593" s="14" t="s">
        <v>1435</v>
      </c>
      <c r="D593" s="14" t="s">
        <v>36</v>
      </c>
      <c r="E593" s="14" t="s">
        <v>2037</v>
      </c>
      <c r="F593" s="14">
        <v>1797</v>
      </c>
      <c r="G593" s="15">
        <v>348.37</v>
      </c>
      <c r="H593" s="16">
        <v>45976</v>
      </c>
      <c r="I593" s="16">
        <v>45907</v>
      </c>
      <c r="J593" s="16"/>
      <c r="K593" s="14" t="s">
        <v>2004</v>
      </c>
      <c r="L593" s="16">
        <f>IF(D593="Packaging","",IF(ISNUMBER(J593),J593,IF(ISNUMBER(I593),EDATE(I593,VLOOKUP(D593,Assumptions!$A$10:$B$16,2,0)),"")))</f>
        <v>46637</v>
      </c>
      <c r="M593" s="14">
        <f>IF(ISNUMBER(L593),L593-Assumptions!$B$5,"")</f>
        <v>615</v>
      </c>
      <c r="N593" s="17">
        <f t="shared" si="54"/>
        <v>0</v>
      </c>
      <c r="O593" s="14">
        <f>IF(COUNTIF(Assumptions!$A$25:$A$27,A593)&gt;0,1,0)</f>
        <v>0</v>
      </c>
      <c r="P593" s="14">
        <f>IF(COUNTIF(Assumptions!$B$25:$B$26,A593)&gt;0,1,0)</f>
        <v>0</v>
      </c>
      <c r="Q593" s="14">
        <f>IF(COUNTIF(Assumptions!$C$25:$C$25,A593)&gt;0,1,0)</f>
        <v>0</v>
      </c>
      <c r="R593" s="17">
        <f t="shared" si="55"/>
        <v>0</v>
      </c>
      <c r="S593" s="15" t="str">
        <f>IFERROR(VLOOKUP(A593,Assumptions!$A$31:$B$33,2,0),"")</f>
        <v/>
      </c>
      <c r="T593" s="15">
        <f t="shared" si="56"/>
        <v>348.37</v>
      </c>
      <c r="U593" s="15">
        <f t="shared" si="57"/>
        <v>626020.89</v>
      </c>
      <c r="V593" s="15">
        <f t="shared" si="58"/>
        <v>626020.89</v>
      </c>
      <c r="W593" s="15">
        <f t="shared" si="59"/>
        <v>0</v>
      </c>
    </row>
    <row r="594" spans="1:23" ht="15" customHeight="1" x14ac:dyDescent="0.2">
      <c r="A594" s="14" t="s">
        <v>2933</v>
      </c>
      <c r="B594" s="14" t="s">
        <v>2934</v>
      </c>
      <c r="C594" s="14" t="s">
        <v>2066</v>
      </c>
      <c r="D594" s="14" t="s">
        <v>42</v>
      </c>
      <c r="E594" s="14" t="s">
        <v>2014</v>
      </c>
      <c r="F594" s="14">
        <v>2081</v>
      </c>
      <c r="G594" s="15">
        <v>362.41</v>
      </c>
      <c r="H594" s="16">
        <v>45984</v>
      </c>
      <c r="I594" s="16">
        <v>46170</v>
      </c>
      <c r="J594" s="16">
        <v>46535</v>
      </c>
      <c r="K594" s="14" t="s">
        <v>2052</v>
      </c>
      <c r="L594" s="16">
        <f>IF(D594="Packaging","",IF(ISNUMBER(J594),J594,IF(ISNUMBER(I594),EDATE(I594,VLOOKUP(D594,Assumptions!$A$10:$B$16,2,0)),"")))</f>
        <v>46535</v>
      </c>
      <c r="M594" s="14">
        <f>IF(ISNUMBER(L594),L594-Assumptions!$B$5,"")</f>
        <v>513</v>
      </c>
      <c r="N594" s="17">
        <f t="shared" si="54"/>
        <v>0</v>
      </c>
      <c r="O594" s="14">
        <f>IF(COUNTIF(Assumptions!$A$25:$A$27,A594)&gt;0,1,0)</f>
        <v>0</v>
      </c>
      <c r="P594" s="14">
        <f>IF(COUNTIF(Assumptions!$B$25:$B$26,A594)&gt;0,1,0)</f>
        <v>0</v>
      </c>
      <c r="Q594" s="14">
        <f>IF(COUNTIF(Assumptions!$C$25:$C$25,A594)&gt;0,1,0)</f>
        <v>0</v>
      </c>
      <c r="R594" s="17">
        <f t="shared" si="55"/>
        <v>0</v>
      </c>
      <c r="S594" s="15" t="str">
        <f>IFERROR(VLOOKUP(A594,Assumptions!$A$31:$B$33,2,0),"")</f>
        <v/>
      </c>
      <c r="T594" s="15">
        <f t="shared" si="56"/>
        <v>362.41</v>
      </c>
      <c r="U594" s="15">
        <f t="shared" si="57"/>
        <v>754175.21000000008</v>
      </c>
      <c r="V594" s="15">
        <f t="shared" si="58"/>
        <v>754175.21000000008</v>
      </c>
      <c r="W594" s="15">
        <f t="shared" si="59"/>
        <v>0</v>
      </c>
    </row>
    <row r="595" spans="1:23" ht="15" customHeight="1" x14ac:dyDescent="0.2">
      <c r="A595" s="14" t="s">
        <v>2935</v>
      </c>
      <c r="B595" s="14" t="s">
        <v>2936</v>
      </c>
      <c r="C595" s="14" t="s">
        <v>2042</v>
      </c>
      <c r="D595" s="14" t="s">
        <v>47</v>
      </c>
      <c r="E595" s="14" t="s">
        <v>1993</v>
      </c>
      <c r="F595" s="14">
        <v>3705</v>
      </c>
      <c r="G595" s="15">
        <v>21.38</v>
      </c>
      <c r="H595" s="16">
        <v>45602</v>
      </c>
      <c r="I595" s="16">
        <v>45588</v>
      </c>
      <c r="J595" s="16"/>
      <c r="K595" s="14" t="s">
        <v>1989</v>
      </c>
      <c r="L595" s="16" t="str">
        <f>IF(D595="Packaging","",IF(ISNUMBER(J595),J595,IF(ISNUMBER(I595),EDATE(I595,VLOOKUP(D595,Assumptions!$A$10:$B$16,2,0)),"")))</f>
        <v/>
      </c>
      <c r="M595" s="14" t="str">
        <f>IF(ISNUMBER(L595),L595-Assumptions!$B$5,"")</f>
        <v/>
      </c>
      <c r="N595" s="17">
        <f t="shared" si="54"/>
        <v>0</v>
      </c>
      <c r="O595" s="14">
        <f>IF(COUNTIF(Assumptions!$A$25:$A$27,A595)&gt;0,1,0)</f>
        <v>0</v>
      </c>
      <c r="P595" s="14">
        <f>IF(COUNTIF(Assumptions!$B$25:$B$26,A595)&gt;0,1,0)</f>
        <v>0</v>
      </c>
      <c r="Q595" s="14">
        <f>IF(COUNTIF(Assumptions!$C$25:$C$25,A595)&gt;0,1,0)</f>
        <v>0</v>
      </c>
      <c r="R595" s="17">
        <f t="shared" si="55"/>
        <v>0</v>
      </c>
      <c r="S595" s="15" t="str">
        <f>IFERROR(VLOOKUP(A595,Assumptions!$A$31:$B$33,2,0),"")</f>
        <v/>
      </c>
      <c r="T595" s="15">
        <f t="shared" si="56"/>
        <v>21.38</v>
      </c>
      <c r="U595" s="15">
        <f t="shared" si="57"/>
        <v>79212.899999999994</v>
      </c>
      <c r="V595" s="15">
        <f t="shared" si="58"/>
        <v>79212.899999999994</v>
      </c>
      <c r="W595" s="15">
        <f t="shared" si="59"/>
        <v>0</v>
      </c>
    </row>
    <row r="596" spans="1:23" ht="15" customHeight="1" x14ac:dyDescent="0.2">
      <c r="A596" s="14" t="s">
        <v>2937</v>
      </c>
      <c r="B596" s="14" t="s">
        <v>2938</v>
      </c>
      <c r="C596" s="14" t="s">
        <v>2049</v>
      </c>
      <c r="D596" s="14" t="s">
        <v>42</v>
      </c>
      <c r="E596" s="14" t="s">
        <v>2014</v>
      </c>
      <c r="F596" s="14">
        <v>4295</v>
      </c>
      <c r="G596" s="15">
        <v>97.67</v>
      </c>
      <c r="H596" s="16">
        <v>46012</v>
      </c>
      <c r="I596" s="16">
        <v>46355</v>
      </c>
      <c r="J596" s="16">
        <v>46720</v>
      </c>
      <c r="K596" s="14" t="s">
        <v>1994</v>
      </c>
      <c r="L596" s="16">
        <f>IF(D596="Packaging","",IF(ISNUMBER(J596),J596,IF(ISNUMBER(I596),EDATE(I596,VLOOKUP(D596,Assumptions!$A$10:$B$16,2,0)),"")))</f>
        <v>46720</v>
      </c>
      <c r="M596" s="14">
        <f>IF(ISNUMBER(L596),L596-Assumptions!$B$5,"")</f>
        <v>698</v>
      </c>
      <c r="N596" s="17">
        <f t="shared" si="54"/>
        <v>0</v>
      </c>
      <c r="O596" s="14">
        <f>IF(COUNTIF(Assumptions!$A$25:$A$27,A596)&gt;0,1,0)</f>
        <v>0</v>
      </c>
      <c r="P596" s="14">
        <f>IF(COUNTIF(Assumptions!$B$25:$B$26,A596)&gt;0,1,0)</f>
        <v>0</v>
      </c>
      <c r="Q596" s="14">
        <f>IF(COUNTIF(Assumptions!$C$25:$C$25,A596)&gt;0,1,0)</f>
        <v>0</v>
      </c>
      <c r="R596" s="17">
        <f t="shared" si="55"/>
        <v>0</v>
      </c>
      <c r="S596" s="15" t="str">
        <f>IFERROR(VLOOKUP(A596,Assumptions!$A$31:$B$33,2,0),"")</f>
        <v/>
      </c>
      <c r="T596" s="15">
        <f t="shared" si="56"/>
        <v>97.67</v>
      </c>
      <c r="U596" s="15">
        <f t="shared" si="57"/>
        <v>419492.65</v>
      </c>
      <c r="V596" s="15">
        <f t="shared" si="58"/>
        <v>419492.65</v>
      </c>
      <c r="W596" s="15">
        <f t="shared" si="59"/>
        <v>0</v>
      </c>
    </row>
    <row r="597" spans="1:23" ht="15" customHeight="1" x14ac:dyDescent="0.2">
      <c r="A597" s="14" t="s">
        <v>2939</v>
      </c>
      <c r="B597" s="14" t="s">
        <v>2940</v>
      </c>
      <c r="C597" s="14" t="s">
        <v>2192</v>
      </c>
      <c r="D597" s="14" t="s">
        <v>39</v>
      </c>
      <c r="E597" s="14" t="s">
        <v>2037</v>
      </c>
      <c r="F597" s="14">
        <v>4360</v>
      </c>
      <c r="G597" s="15">
        <v>355.73</v>
      </c>
      <c r="H597" s="16">
        <v>45180</v>
      </c>
      <c r="I597" s="16">
        <v>45152</v>
      </c>
      <c r="J597" s="16">
        <v>46248</v>
      </c>
      <c r="K597" s="14" t="s">
        <v>2004</v>
      </c>
      <c r="L597" s="16">
        <f>IF(D597="Packaging","",IF(ISNUMBER(J597),J597,IF(ISNUMBER(I597),EDATE(I597,VLOOKUP(D597,Assumptions!$A$10:$B$16,2,0)),"")))</f>
        <v>46248</v>
      </c>
      <c r="M597" s="14">
        <f>IF(ISNUMBER(L597),L597-Assumptions!$B$5,"")</f>
        <v>226</v>
      </c>
      <c r="N597" s="17">
        <f t="shared" si="54"/>
        <v>0</v>
      </c>
      <c r="O597" s="14">
        <f>IF(COUNTIF(Assumptions!$A$25:$A$27,A597)&gt;0,1,0)</f>
        <v>0</v>
      </c>
      <c r="P597" s="14">
        <f>IF(COUNTIF(Assumptions!$B$25:$B$26,A597)&gt;0,1,0)</f>
        <v>0</v>
      </c>
      <c r="Q597" s="14">
        <f>IF(COUNTIF(Assumptions!$C$25:$C$25,A597)&gt;0,1,0)</f>
        <v>0</v>
      </c>
      <c r="R597" s="17">
        <f t="shared" si="55"/>
        <v>0</v>
      </c>
      <c r="S597" s="15" t="str">
        <f>IFERROR(VLOOKUP(A597,Assumptions!$A$31:$B$33,2,0),"")</f>
        <v/>
      </c>
      <c r="T597" s="15">
        <f t="shared" si="56"/>
        <v>355.73</v>
      </c>
      <c r="U597" s="15">
        <f t="shared" si="57"/>
        <v>1550982.8</v>
      </c>
      <c r="V597" s="15">
        <f t="shared" si="58"/>
        <v>1550982.8</v>
      </c>
      <c r="W597" s="15">
        <f t="shared" si="59"/>
        <v>0</v>
      </c>
    </row>
    <row r="598" spans="1:23" ht="15" customHeight="1" x14ac:dyDescent="0.2">
      <c r="A598" s="14" t="s">
        <v>2941</v>
      </c>
      <c r="B598" s="14" t="s">
        <v>2942</v>
      </c>
      <c r="C598" s="14" t="s">
        <v>2049</v>
      </c>
      <c r="D598" s="14" t="s">
        <v>42</v>
      </c>
      <c r="E598" s="14" t="s">
        <v>1993</v>
      </c>
      <c r="F598" s="14">
        <v>1104</v>
      </c>
      <c r="G598" s="15">
        <v>369.45</v>
      </c>
      <c r="H598" s="16">
        <v>45981</v>
      </c>
      <c r="I598" s="16">
        <v>46151</v>
      </c>
      <c r="J598" s="16">
        <v>46516</v>
      </c>
      <c r="K598" s="14" t="s">
        <v>2052</v>
      </c>
      <c r="L598" s="16">
        <f>IF(D598="Packaging","",IF(ISNUMBER(J598),J598,IF(ISNUMBER(I598),EDATE(I598,VLOOKUP(D598,Assumptions!$A$10:$B$16,2,0)),"")))</f>
        <v>46516</v>
      </c>
      <c r="M598" s="14">
        <f>IF(ISNUMBER(L598),L598-Assumptions!$B$5,"")</f>
        <v>494</v>
      </c>
      <c r="N598" s="17">
        <f t="shared" si="54"/>
        <v>0</v>
      </c>
      <c r="O598" s="14">
        <f>IF(COUNTIF(Assumptions!$A$25:$A$27,A598)&gt;0,1,0)</f>
        <v>0</v>
      </c>
      <c r="P598" s="14">
        <f>IF(COUNTIF(Assumptions!$B$25:$B$26,A598)&gt;0,1,0)</f>
        <v>0</v>
      </c>
      <c r="Q598" s="14">
        <f>IF(COUNTIF(Assumptions!$C$25:$C$25,A598)&gt;0,1,0)</f>
        <v>0</v>
      </c>
      <c r="R598" s="17">
        <f t="shared" si="55"/>
        <v>0</v>
      </c>
      <c r="S598" s="15" t="str">
        <f>IFERROR(VLOOKUP(A598,Assumptions!$A$31:$B$33,2,0),"")</f>
        <v/>
      </c>
      <c r="T598" s="15">
        <f t="shared" si="56"/>
        <v>369.45</v>
      </c>
      <c r="U598" s="15">
        <f t="shared" si="57"/>
        <v>407872.8</v>
      </c>
      <c r="V598" s="15">
        <f t="shared" si="58"/>
        <v>407872.8</v>
      </c>
      <c r="W598" s="15">
        <f t="shared" si="59"/>
        <v>0</v>
      </c>
    </row>
    <row r="599" spans="1:23" ht="15" customHeight="1" x14ac:dyDescent="0.2">
      <c r="A599" s="14" t="s">
        <v>2943</v>
      </c>
      <c r="B599" s="14" t="s">
        <v>2944</v>
      </c>
      <c r="C599" s="14" t="s">
        <v>2101</v>
      </c>
      <c r="D599" s="14" t="s">
        <v>46</v>
      </c>
      <c r="E599" s="14" t="s">
        <v>2037</v>
      </c>
      <c r="F599" s="14">
        <v>482</v>
      </c>
      <c r="G599" s="15">
        <v>221.08</v>
      </c>
      <c r="H599" s="16">
        <v>46003</v>
      </c>
      <c r="I599" s="16">
        <v>46111</v>
      </c>
      <c r="J599" s="16"/>
      <c r="K599" s="14" t="s">
        <v>2015</v>
      </c>
      <c r="L599" s="16">
        <f>IF(D599="Packaging","",IF(ISNUMBER(J599),J599,IF(ISNUMBER(I599),EDATE(I599,VLOOKUP(D599,Assumptions!$A$10:$B$16,2,0)),"")))</f>
        <v>46386</v>
      </c>
      <c r="M599" s="14">
        <f>IF(ISNUMBER(L599),L599-Assumptions!$B$5,"")</f>
        <v>364</v>
      </c>
      <c r="N599" s="17">
        <f t="shared" si="54"/>
        <v>0</v>
      </c>
      <c r="O599" s="14">
        <f>IF(COUNTIF(Assumptions!$A$25:$A$27,A599)&gt;0,1,0)</f>
        <v>0</v>
      </c>
      <c r="P599" s="14">
        <f>IF(COUNTIF(Assumptions!$B$25:$B$26,A599)&gt;0,1,0)</f>
        <v>0</v>
      </c>
      <c r="Q599" s="14">
        <f>IF(COUNTIF(Assumptions!$C$25:$C$25,A599)&gt;0,1,0)</f>
        <v>0</v>
      </c>
      <c r="R599" s="17">
        <f t="shared" si="55"/>
        <v>0</v>
      </c>
      <c r="S599" s="15" t="str">
        <f>IFERROR(VLOOKUP(A599,Assumptions!$A$31:$B$33,2,0),"")</f>
        <v/>
      </c>
      <c r="T599" s="15">
        <f t="shared" si="56"/>
        <v>221.08</v>
      </c>
      <c r="U599" s="15">
        <f t="shared" si="57"/>
        <v>106560.56000000001</v>
      </c>
      <c r="V599" s="15">
        <f t="shared" si="58"/>
        <v>106560.56000000001</v>
      </c>
      <c r="W599" s="15">
        <f t="shared" si="59"/>
        <v>0</v>
      </c>
    </row>
    <row r="600" spans="1:23" ht="15" customHeight="1" x14ac:dyDescent="0.2">
      <c r="A600" s="14" t="s">
        <v>2945</v>
      </c>
      <c r="B600" s="14" t="s">
        <v>2946</v>
      </c>
      <c r="C600" s="14" t="s">
        <v>2192</v>
      </c>
      <c r="D600" s="14" t="s">
        <v>39</v>
      </c>
      <c r="E600" s="14" t="s">
        <v>1988</v>
      </c>
      <c r="F600" s="14">
        <v>769</v>
      </c>
      <c r="G600" s="15">
        <v>196.05</v>
      </c>
      <c r="H600" s="16">
        <v>45058</v>
      </c>
      <c r="I600" s="16">
        <v>45030</v>
      </c>
      <c r="J600" s="16">
        <v>46126</v>
      </c>
      <c r="K600" s="14" t="s">
        <v>1989</v>
      </c>
      <c r="L600" s="16">
        <f>IF(D600="Packaging","",IF(ISNUMBER(J600),J600,IF(ISNUMBER(I600),EDATE(I600,VLOOKUP(D600,Assumptions!$A$10:$B$16,2,0)),"")))</f>
        <v>46126</v>
      </c>
      <c r="M600" s="14">
        <f>IF(ISNUMBER(L600),L600-Assumptions!$B$5,"")</f>
        <v>104</v>
      </c>
      <c r="N600" s="17">
        <f t="shared" si="54"/>
        <v>0.25</v>
      </c>
      <c r="O600" s="14">
        <f>IF(COUNTIF(Assumptions!$A$25:$A$27,A600)&gt;0,1,0)</f>
        <v>0</v>
      </c>
      <c r="P600" s="14">
        <f>IF(COUNTIF(Assumptions!$B$25:$B$26,A600)&gt;0,1,0)</f>
        <v>0</v>
      </c>
      <c r="Q600" s="14">
        <f>IF(COUNTIF(Assumptions!$C$25:$C$25,A600)&gt;0,1,0)</f>
        <v>0</v>
      </c>
      <c r="R600" s="17">
        <f t="shared" si="55"/>
        <v>0.25</v>
      </c>
      <c r="S600" s="15" t="str">
        <f>IFERROR(VLOOKUP(A600,Assumptions!$A$31:$B$33,2,0),"")</f>
        <v/>
      </c>
      <c r="T600" s="15">
        <f t="shared" si="56"/>
        <v>196.05</v>
      </c>
      <c r="U600" s="15">
        <f t="shared" si="57"/>
        <v>150762.45000000001</v>
      </c>
      <c r="V600" s="15">
        <f t="shared" si="58"/>
        <v>113071.83750000001</v>
      </c>
      <c r="W600" s="15">
        <f t="shared" si="59"/>
        <v>37690.612500000003</v>
      </c>
    </row>
    <row r="601" spans="1:23" ht="15" customHeight="1" x14ac:dyDescent="0.2">
      <c r="A601" s="14" t="s">
        <v>2947</v>
      </c>
      <c r="B601" s="14" t="s">
        <v>2948</v>
      </c>
      <c r="C601" s="14" t="s">
        <v>2010</v>
      </c>
      <c r="D601" s="14" t="s">
        <v>46</v>
      </c>
      <c r="E601" s="14" t="s">
        <v>1988</v>
      </c>
      <c r="F601" s="14">
        <v>4603</v>
      </c>
      <c r="G601" s="15">
        <v>70.61</v>
      </c>
      <c r="H601" s="16">
        <v>45992</v>
      </c>
      <c r="I601" s="16">
        <v>46530</v>
      </c>
      <c r="J601" s="16">
        <v>46806</v>
      </c>
      <c r="K601" s="14" t="s">
        <v>2052</v>
      </c>
      <c r="L601" s="16">
        <f>IF(D601="Packaging","",IF(ISNUMBER(J601),J601,IF(ISNUMBER(I601),EDATE(I601,VLOOKUP(D601,Assumptions!$A$10:$B$16,2,0)),"")))</f>
        <v>46806</v>
      </c>
      <c r="M601" s="14">
        <f>IF(ISNUMBER(L601),L601-Assumptions!$B$5,"")</f>
        <v>784</v>
      </c>
      <c r="N601" s="17">
        <f t="shared" si="54"/>
        <v>0</v>
      </c>
      <c r="O601" s="14">
        <f>IF(COUNTIF(Assumptions!$A$25:$A$27,A601)&gt;0,1,0)</f>
        <v>0</v>
      </c>
      <c r="P601" s="14">
        <f>IF(COUNTIF(Assumptions!$B$25:$B$26,A601)&gt;0,1,0)</f>
        <v>0</v>
      </c>
      <c r="Q601" s="14">
        <f>IF(COUNTIF(Assumptions!$C$25:$C$25,A601)&gt;0,1,0)</f>
        <v>0</v>
      </c>
      <c r="R601" s="17">
        <f t="shared" si="55"/>
        <v>0</v>
      </c>
      <c r="S601" s="15" t="str">
        <f>IFERROR(VLOOKUP(A601,Assumptions!$A$31:$B$33,2,0),"")</f>
        <v/>
      </c>
      <c r="T601" s="15">
        <f t="shared" si="56"/>
        <v>70.61</v>
      </c>
      <c r="U601" s="15">
        <f t="shared" si="57"/>
        <v>325017.83</v>
      </c>
      <c r="V601" s="15">
        <f t="shared" si="58"/>
        <v>325017.83</v>
      </c>
      <c r="W601" s="15">
        <f t="shared" si="59"/>
        <v>0</v>
      </c>
    </row>
    <row r="603" spans="1:23" ht="15" customHeight="1" x14ac:dyDescent="0.2">
      <c r="E603" s="9" t="s">
        <v>2949</v>
      </c>
      <c r="U603" s="10">
        <f>SUM(U2:U601)</f>
        <v>313494104.51999986</v>
      </c>
      <c r="V603" s="10">
        <f>SUM(V2:V601)</f>
        <v>296807156.23750007</v>
      </c>
      <c r="W603" s="10">
        <f>SUM(W2:W601)</f>
        <v>16686948.282500003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9"/>
  <sheetViews>
    <sheetView zoomScaleNormal="100" workbookViewId="0">
      <pane ySplit="1" topLeftCell="A28" activePane="bottomLeft" state="frozen"/>
      <selection pane="bottomLeft" activeCell="A2" sqref="A2:P61"/>
    </sheetView>
  </sheetViews>
  <sheetFormatPr baseColWidth="10" defaultColWidth="8.6640625" defaultRowHeight="15" x14ac:dyDescent="0.2"/>
  <cols>
    <col min="1" max="1" width="11" customWidth="1"/>
    <col min="2" max="2" width="15" customWidth="1"/>
    <col min="3" max="3" width="18" customWidth="1"/>
    <col min="4" max="4" width="16" customWidth="1"/>
    <col min="5" max="7" width="11" customWidth="1"/>
    <col min="8" max="8" width="12" customWidth="1"/>
    <col min="9" max="11" width="6" customWidth="1"/>
    <col min="12" max="12" width="12" customWidth="1"/>
    <col min="13" max="13" width="14" customWidth="1"/>
    <col min="14" max="14" width="13" customWidth="1"/>
    <col min="15" max="15" width="10" customWidth="1"/>
    <col min="16" max="16" width="14" customWidth="1"/>
  </cols>
  <sheetData>
    <row r="1" spans="1:16" s="28" customFormat="1" ht="39" customHeight="1" x14ac:dyDescent="0.2">
      <c r="A1" s="27" t="s">
        <v>2950</v>
      </c>
      <c r="B1" s="27" t="s">
        <v>2951</v>
      </c>
      <c r="C1" s="27" t="s">
        <v>2952</v>
      </c>
      <c r="D1" s="27" t="s">
        <v>2953</v>
      </c>
      <c r="E1" s="27" t="s">
        <v>2954</v>
      </c>
      <c r="F1" s="27" t="s">
        <v>2955</v>
      </c>
      <c r="G1" s="27" t="s">
        <v>2956</v>
      </c>
      <c r="H1" s="27" t="s">
        <v>2957</v>
      </c>
      <c r="I1" s="27" t="s">
        <v>2958</v>
      </c>
      <c r="J1" s="27" t="s">
        <v>2959</v>
      </c>
      <c r="K1" s="27" t="s">
        <v>2960</v>
      </c>
      <c r="L1" s="27" t="s">
        <v>2961</v>
      </c>
      <c r="M1" s="27" t="s">
        <v>2962</v>
      </c>
      <c r="N1" s="27" t="s">
        <v>2963</v>
      </c>
      <c r="O1" s="27" t="s">
        <v>2964</v>
      </c>
      <c r="P1" s="27" t="s">
        <v>2965</v>
      </c>
    </row>
    <row r="2" spans="1:16" ht="15" customHeight="1" x14ac:dyDescent="0.2">
      <c r="A2" s="14" t="s">
        <v>2966</v>
      </c>
      <c r="B2" s="14" t="s">
        <v>2967</v>
      </c>
      <c r="C2" s="14" t="s">
        <v>2968</v>
      </c>
      <c r="D2" s="14" t="s">
        <v>2969</v>
      </c>
      <c r="E2" s="14" t="s">
        <v>2970</v>
      </c>
      <c r="F2" s="14" t="s">
        <v>2971</v>
      </c>
      <c r="G2" s="14" t="s">
        <v>2970</v>
      </c>
      <c r="H2" s="16">
        <v>45756</v>
      </c>
      <c r="I2" s="14">
        <f t="shared" ref="I2:I33" si="0">IF(E2="Yes",1,0)</f>
        <v>0</v>
      </c>
      <c r="J2" s="14">
        <f t="shared" ref="J2:J33" si="1">IF(F2="Yes",1,0)</f>
        <v>1</v>
      </c>
      <c r="K2" s="14">
        <f t="shared" ref="K2:K33" si="2">IF(G2="Yes",1,0)</f>
        <v>0</v>
      </c>
      <c r="L2" s="14">
        <f t="shared" ref="L2:L33" si="3">IF(AND(SUMIF($A$2:$A$61,A2,$J$2:$J$61)&gt;0,SUMIF($A$2:$A$61,A2,$K$2:$K$61)&gt;0),1,0)</f>
        <v>0</v>
      </c>
      <c r="M2" s="14">
        <f t="shared" ref="M2:M33" si="4">IF(AND(SUMIF($A$2:$A$61,A2,$I$2:$I$61)&gt;0,SUMIF($A$2:$A$61,A2,$K$2:$K$61)&gt;0),1,0)</f>
        <v>0</v>
      </c>
      <c r="N2" s="14">
        <f t="shared" ref="N2:N33" si="5">IF(AND(SUMIF($A$2:$A$61,A2,$I$2:$I$61)&gt;0,SUMIF($A$2:$A$61,A2,$J$2:$J$61)&gt;0,SUMIF($A$2:$A$61,A2,$K$2:$K$61)&gt;0),1,0)</f>
        <v>0</v>
      </c>
      <c r="O2" s="14">
        <f t="shared" ref="O2:O33" si="6">IF(COUNTIF($A$2:$A$61,A2)&gt;1,1,0)</f>
        <v>0</v>
      </c>
      <c r="P2" s="14">
        <f t="shared" ref="P2:P33" si="7">IF(OR(L2=1,M2=1,N2=1),1,0)</f>
        <v>0</v>
      </c>
    </row>
    <row r="3" spans="1:16" ht="15" customHeight="1" x14ac:dyDescent="0.2">
      <c r="A3" s="14" t="s">
        <v>2972</v>
      </c>
      <c r="B3" s="14" t="s">
        <v>2973</v>
      </c>
      <c r="C3" s="14" t="s">
        <v>2968</v>
      </c>
      <c r="D3" s="14" t="s">
        <v>2969</v>
      </c>
      <c r="E3" s="14" t="s">
        <v>2970</v>
      </c>
      <c r="F3" s="14" t="s">
        <v>2971</v>
      </c>
      <c r="G3" s="14" t="s">
        <v>2970</v>
      </c>
      <c r="H3" s="16">
        <v>45308</v>
      </c>
      <c r="I3" s="14">
        <f t="shared" si="0"/>
        <v>0</v>
      </c>
      <c r="J3" s="14">
        <f t="shared" si="1"/>
        <v>1</v>
      </c>
      <c r="K3" s="14">
        <f t="shared" si="2"/>
        <v>0</v>
      </c>
      <c r="L3" s="14">
        <f t="shared" si="3"/>
        <v>0</v>
      </c>
      <c r="M3" s="14">
        <f t="shared" si="4"/>
        <v>0</v>
      </c>
      <c r="N3" s="14">
        <f t="shared" si="5"/>
        <v>0</v>
      </c>
      <c r="O3" s="14">
        <f t="shared" si="6"/>
        <v>0</v>
      </c>
      <c r="P3" s="14">
        <f t="shared" si="7"/>
        <v>0</v>
      </c>
    </row>
    <row r="4" spans="1:16" ht="15" customHeight="1" x14ac:dyDescent="0.2">
      <c r="A4" s="14" t="s">
        <v>2974</v>
      </c>
      <c r="B4" s="14" t="s">
        <v>2975</v>
      </c>
      <c r="C4" s="14" t="s">
        <v>2976</v>
      </c>
      <c r="D4" s="14" t="s">
        <v>2977</v>
      </c>
      <c r="E4" s="14" t="s">
        <v>2970</v>
      </c>
      <c r="F4" s="14" t="s">
        <v>2971</v>
      </c>
      <c r="G4" s="14" t="s">
        <v>2971</v>
      </c>
      <c r="H4" s="16">
        <v>44282</v>
      </c>
      <c r="I4" s="14">
        <f t="shared" si="0"/>
        <v>0</v>
      </c>
      <c r="J4" s="14">
        <f t="shared" si="1"/>
        <v>1</v>
      </c>
      <c r="K4" s="14">
        <f t="shared" si="2"/>
        <v>1</v>
      </c>
      <c r="L4" s="14">
        <f t="shared" si="3"/>
        <v>1</v>
      </c>
      <c r="M4" s="14">
        <f t="shared" si="4"/>
        <v>0</v>
      </c>
      <c r="N4" s="14">
        <f t="shared" si="5"/>
        <v>0</v>
      </c>
      <c r="O4" s="14">
        <f t="shared" si="6"/>
        <v>0</v>
      </c>
      <c r="P4" s="14">
        <f t="shared" si="7"/>
        <v>1</v>
      </c>
    </row>
    <row r="5" spans="1:16" ht="15" customHeight="1" x14ac:dyDescent="0.2">
      <c r="A5" s="14" t="s">
        <v>2978</v>
      </c>
      <c r="B5" s="14" t="s">
        <v>2979</v>
      </c>
      <c r="C5" s="14" t="s">
        <v>2980</v>
      </c>
      <c r="D5" s="14" t="s">
        <v>2981</v>
      </c>
      <c r="E5" s="14" t="s">
        <v>2970</v>
      </c>
      <c r="F5" s="14" t="s">
        <v>2971</v>
      </c>
      <c r="G5" s="14" t="s">
        <v>2971</v>
      </c>
      <c r="H5" s="16">
        <v>44411</v>
      </c>
      <c r="I5" s="14">
        <f t="shared" si="0"/>
        <v>0</v>
      </c>
      <c r="J5" s="14">
        <f t="shared" si="1"/>
        <v>1</v>
      </c>
      <c r="K5" s="14">
        <f t="shared" si="2"/>
        <v>1</v>
      </c>
      <c r="L5" s="14">
        <f t="shared" si="3"/>
        <v>1</v>
      </c>
      <c r="M5" s="14">
        <f t="shared" si="4"/>
        <v>0</v>
      </c>
      <c r="N5" s="14">
        <f t="shared" si="5"/>
        <v>0</v>
      </c>
      <c r="O5" s="14">
        <f t="shared" si="6"/>
        <v>0</v>
      </c>
      <c r="P5" s="14">
        <f t="shared" si="7"/>
        <v>1</v>
      </c>
    </row>
    <row r="6" spans="1:16" ht="15" customHeight="1" x14ac:dyDescent="0.2">
      <c r="A6" s="14" t="s">
        <v>2982</v>
      </c>
      <c r="B6" s="14" t="s">
        <v>2983</v>
      </c>
      <c r="C6" s="14" t="s">
        <v>2984</v>
      </c>
      <c r="D6" s="14" t="s">
        <v>2981</v>
      </c>
      <c r="E6" s="14" t="s">
        <v>2970</v>
      </c>
      <c r="F6" s="14" t="s">
        <v>2971</v>
      </c>
      <c r="G6" s="14" t="s">
        <v>2971</v>
      </c>
      <c r="H6" s="16">
        <v>44424</v>
      </c>
      <c r="I6" s="14">
        <f t="shared" si="0"/>
        <v>0</v>
      </c>
      <c r="J6" s="14">
        <f t="shared" si="1"/>
        <v>1</v>
      </c>
      <c r="K6" s="14">
        <f t="shared" si="2"/>
        <v>1</v>
      </c>
      <c r="L6" s="14">
        <f t="shared" si="3"/>
        <v>1</v>
      </c>
      <c r="M6" s="14">
        <f t="shared" si="4"/>
        <v>0</v>
      </c>
      <c r="N6" s="14">
        <f t="shared" si="5"/>
        <v>0</v>
      </c>
      <c r="O6" s="14">
        <f t="shared" si="6"/>
        <v>0</v>
      </c>
      <c r="P6" s="14">
        <f t="shared" si="7"/>
        <v>1</v>
      </c>
    </row>
    <row r="7" spans="1:16" ht="15" customHeight="1" x14ac:dyDescent="0.2">
      <c r="A7" s="14" t="s">
        <v>2985</v>
      </c>
      <c r="B7" s="14" t="s">
        <v>2986</v>
      </c>
      <c r="C7" s="14" t="s">
        <v>2968</v>
      </c>
      <c r="D7" s="14" t="s">
        <v>2969</v>
      </c>
      <c r="E7" s="14" t="s">
        <v>2970</v>
      </c>
      <c r="F7" s="14" t="s">
        <v>2971</v>
      </c>
      <c r="G7" s="14" t="s">
        <v>2970</v>
      </c>
      <c r="H7" s="16">
        <v>44840</v>
      </c>
      <c r="I7" s="14">
        <f t="shared" si="0"/>
        <v>0</v>
      </c>
      <c r="J7" s="14">
        <f t="shared" si="1"/>
        <v>1</v>
      </c>
      <c r="K7" s="14">
        <f t="shared" si="2"/>
        <v>0</v>
      </c>
      <c r="L7" s="14">
        <f t="shared" si="3"/>
        <v>0</v>
      </c>
      <c r="M7" s="14">
        <f t="shared" si="4"/>
        <v>0</v>
      </c>
      <c r="N7" s="14">
        <f t="shared" si="5"/>
        <v>0</v>
      </c>
      <c r="O7" s="14">
        <f t="shared" si="6"/>
        <v>0</v>
      </c>
      <c r="P7" s="14">
        <f t="shared" si="7"/>
        <v>0</v>
      </c>
    </row>
    <row r="8" spans="1:16" ht="15" customHeight="1" x14ac:dyDescent="0.2">
      <c r="A8" s="14" t="s">
        <v>2987</v>
      </c>
      <c r="B8" s="14" t="s">
        <v>2988</v>
      </c>
      <c r="C8" s="14" t="s">
        <v>2989</v>
      </c>
      <c r="D8" s="14" t="s">
        <v>2990</v>
      </c>
      <c r="E8" s="14" t="s">
        <v>2971</v>
      </c>
      <c r="F8" s="14" t="s">
        <v>2970</v>
      </c>
      <c r="G8" s="14" t="s">
        <v>2971</v>
      </c>
      <c r="H8" s="16">
        <v>45894</v>
      </c>
      <c r="I8" s="14">
        <f t="shared" si="0"/>
        <v>1</v>
      </c>
      <c r="J8" s="14">
        <f t="shared" si="1"/>
        <v>0</v>
      </c>
      <c r="K8" s="14">
        <f t="shared" si="2"/>
        <v>1</v>
      </c>
      <c r="L8" s="14">
        <f t="shared" si="3"/>
        <v>0</v>
      </c>
      <c r="M8" s="14">
        <f t="shared" si="4"/>
        <v>1</v>
      </c>
      <c r="N8" s="14">
        <f t="shared" si="5"/>
        <v>0</v>
      </c>
      <c r="O8" s="14">
        <f t="shared" si="6"/>
        <v>0</v>
      </c>
      <c r="P8" s="14">
        <f t="shared" si="7"/>
        <v>1</v>
      </c>
    </row>
    <row r="9" spans="1:16" ht="15" customHeight="1" x14ac:dyDescent="0.2">
      <c r="A9" s="14" t="s">
        <v>2991</v>
      </c>
      <c r="B9" s="14" t="s">
        <v>2992</v>
      </c>
      <c r="C9" s="14" t="s">
        <v>2993</v>
      </c>
      <c r="D9" s="14" t="s">
        <v>2994</v>
      </c>
      <c r="E9" s="14" t="s">
        <v>2970</v>
      </c>
      <c r="F9" s="14" t="s">
        <v>2970</v>
      </c>
      <c r="G9" s="14" t="s">
        <v>2970</v>
      </c>
      <c r="H9" s="16">
        <v>45449</v>
      </c>
      <c r="I9" s="14">
        <f t="shared" si="0"/>
        <v>0</v>
      </c>
      <c r="J9" s="14">
        <f t="shared" si="1"/>
        <v>0</v>
      </c>
      <c r="K9" s="14">
        <f t="shared" si="2"/>
        <v>0</v>
      </c>
      <c r="L9" s="14">
        <f t="shared" si="3"/>
        <v>0</v>
      </c>
      <c r="M9" s="14">
        <f t="shared" si="4"/>
        <v>0</v>
      </c>
      <c r="N9" s="14">
        <f t="shared" si="5"/>
        <v>0</v>
      </c>
      <c r="O9" s="14">
        <f t="shared" si="6"/>
        <v>0</v>
      </c>
      <c r="P9" s="14">
        <f t="shared" si="7"/>
        <v>0</v>
      </c>
    </row>
    <row r="10" spans="1:16" ht="15" customHeight="1" x14ac:dyDescent="0.2">
      <c r="A10" s="14" t="s">
        <v>2995</v>
      </c>
      <c r="B10" s="14" t="s">
        <v>2996</v>
      </c>
      <c r="C10" s="14" t="s">
        <v>2984</v>
      </c>
      <c r="D10" s="14" t="s">
        <v>2981</v>
      </c>
      <c r="E10" s="14" t="s">
        <v>2970</v>
      </c>
      <c r="F10" s="14" t="s">
        <v>2970</v>
      </c>
      <c r="G10" s="14" t="s">
        <v>2971</v>
      </c>
      <c r="H10" s="16">
        <v>44657</v>
      </c>
      <c r="I10" s="14">
        <f t="shared" si="0"/>
        <v>0</v>
      </c>
      <c r="J10" s="14">
        <f t="shared" si="1"/>
        <v>0</v>
      </c>
      <c r="K10" s="14">
        <f t="shared" si="2"/>
        <v>1</v>
      </c>
      <c r="L10" s="14">
        <f t="shared" si="3"/>
        <v>0</v>
      </c>
      <c r="M10" s="14">
        <f t="shared" si="4"/>
        <v>0</v>
      </c>
      <c r="N10" s="14">
        <f t="shared" si="5"/>
        <v>0</v>
      </c>
      <c r="O10" s="14">
        <f t="shared" si="6"/>
        <v>0</v>
      </c>
      <c r="P10" s="14">
        <f t="shared" si="7"/>
        <v>0</v>
      </c>
    </row>
    <row r="11" spans="1:16" ht="15" customHeight="1" x14ac:dyDescent="0.2">
      <c r="A11" s="14" t="s">
        <v>2997</v>
      </c>
      <c r="B11" s="14" t="s">
        <v>2998</v>
      </c>
      <c r="C11" s="14" t="s">
        <v>2976</v>
      </c>
      <c r="D11" s="14" t="s">
        <v>2977</v>
      </c>
      <c r="E11" s="14" t="s">
        <v>2970</v>
      </c>
      <c r="F11" s="14" t="s">
        <v>2971</v>
      </c>
      <c r="G11" s="14" t="s">
        <v>2971</v>
      </c>
      <c r="H11" s="16">
        <v>44342</v>
      </c>
      <c r="I11" s="14">
        <f t="shared" si="0"/>
        <v>0</v>
      </c>
      <c r="J11" s="14">
        <f t="shared" si="1"/>
        <v>1</v>
      </c>
      <c r="K11" s="14">
        <f t="shared" si="2"/>
        <v>1</v>
      </c>
      <c r="L11" s="14">
        <f t="shared" si="3"/>
        <v>1</v>
      </c>
      <c r="M11" s="14">
        <f t="shared" si="4"/>
        <v>0</v>
      </c>
      <c r="N11" s="14">
        <f t="shared" si="5"/>
        <v>0</v>
      </c>
      <c r="O11" s="14">
        <f t="shared" si="6"/>
        <v>0</v>
      </c>
      <c r="P11" s="14">
        <f t="shared" si="7"/>
        <v>1</v>
      </c>
    </row>
    <row r="12" spans="1:16" ht="15" customHeight="1" x14ac:dyDescent="0.2">
      <c r="A12" s="14" t="s">
        <v>2999</v>
      </c>
      <c r="B12" s="14" t="s">
        <v>3000</v>
      </c>
      <c r="C12" s="14" t="s">
        <v>3001</v>
      </c>
      <c r="D12" s="14" t="s">
        <v>2969</v>
      </c>
      <c r="E12" s="14" t="s">
        <v>2970</v>
      </c>
      <c r="F12" s="14" t="s">
        <v>2971</v>
      </c>
      <c r="G12" s="14" t="s">
        <v>2970</v>
      </c>
      <c r="H12" s="16">
        <v>45282</v>
      </c>
      <c r="I12" s="14">
        <f t="shared" si="0"/>
        <v>0</v>
      </c>
      <c r="J12" s="14">
        <f t="shared" si="1"/>
        <v>1</v>
      </c>
      <c r="K12" s="14">
        <f t="shared" si="2"/>
        <v>0</v>
      </c>
      <c r="L12" s="14">
        <f t="shared" si="3"/>
        <v>0</v>
      </c>
      <c r="M12" s="14">
        <f t="shared" si="4"/>
        <v>0</v>
      </c>
      <c r="N12" s="14">
        <f t="shared" si="5"/>
        <v>0</v>
      </c>
      <c r="O12" s="14">
        <f t="shared" si="6"/>
        <v>0</v>
      </c>
      <c r="P12" s="14">
        <f t="shared" si="7"/>
        <v>0</v>
      </c>
    </row>
    <row r="13" spans="1:16" ht="15" customHeight="1" x14ac:dyDescent="0.2">
      <c r="A13" s="14" t="s">
        <v>3002</v>
      </c>
      <c r="B13" s="14" t="s">
        <v>3003</v>
      </c>
      <c r="C13" s="14" t="s">
        <v>3001</v>
      </c>
      <c r="D13" s="14" t="s">
        <v>2969</v>
      </c>
      <c r="E13" s="14" t="s">
        <v>2970</v>
      </c>
      <c r="F13" s="14" t="s">
        <v>2971</v>
      </c>
      <c r="G13" s="14" t="s">
        <v>2970</v>
      </c>
      <c r="H13" s="16">
        <v>45916</v>
      </c>
      <c r="I13" s="14">
        <f t="shared" si="0"/>
        <v>0</v>
      </c>
      <c r="J13" s="14">
        <f t="shared" si="1"/>
        <v>1</v>
      </c>
      <c r="K13" s="14">
        <f t="shared" si="2"/>
        <v>0</v>
      </c>
      <c r="L13" s="14">
        <f t="shared" si="3"/>
        <v>0</v>
      </c>
      <c r="M13" s="14">
        <f t="shared" si="4"/>
        <v>0</v>
      </c>
      <c r="N13" s="14">
        <f t="shared" si="5"/>
        <v>0</v>
      </c>
      <c r="O13" s="14">
        <f t="shared" si="6"/>
        <v>0</v>
      </c>
      <c r="P13" s="14">
        <f t="shared" si="7"/>
        <v>0</v>
      </c>
    </row>
    <row r="14" spans="1:16" ht="15" customHeight="1" x14ac:dyDescent="0.2">
      <c r="A14" s="14" t="s">
        <v>3004</v>
      </c>
      <c r="B14" s="14" t="s">
        <v>3005</v>
      </c>
      <c r="C14" s="14" t="s">
        <v>2989</v>
      </c>
      <c r="D14" s="14" t="s">
        <v>2990</v>
      </c>
      <c r="E14" s="14" t="s">
        <v>2971</v>
      </c>
      <c r="F14" s="14" t="s">
        <v>2970</v>
      </c>
      <c r="G14" s="14" t="s">
        <v>2970</v>
      </c>
      <c r="H14" s="16">
        <v>45254</v>
      </c>
      <c r="I14" s="14">
        <f t="shared" si="0"/>
        <v>1</v>
      </c>
      <c r="J14" s="14">
        <f t="shared" si="1"/>
        <v>0</v>
      </c>
      <c r="K14" s="14">
        <f t="shared" si="2"/>
        <v>0</v>
      </c>
      <c r="L14" s="14">
        <f t="shared" si="3"/>
        <v>0</v>
      </c>
      <c r="M14" s="14">
        <f t="shared" si="4"/>
        <v>0</v>
      </c>
      <c r="N14" s="14">
        <f t="shared" si="5"/>
        <v>0</v>
      </c>
      <c r="O14" s="14">
        <f t="shared" si="6"/>
        <v>0</v>
      </c>
      <c r="P14" s="14">
        <f t="shared" si="7"/>
        <v>0</v>
      </c>
    </row>
    <row r="15" spans="1:16" ht="15" customHeight="1" x14ac:dyDescent="0.2">
      <c r="A15" s="14" t="s">
        <v>3006</v>
      </c>
      <c r="B15" s="14" t="s">
        <v>3007</v>
      </c>
      <c r="C15" s="14" t="s">
        <v>2993</v>
      </c>
      <c r="D15" s="14" t="s">
        <v>2994</v>
      </c>
      <c r="E15" s="14" t="s">
        <v>2970</v>
      </c>
      <c r="F15" s="14" t="s">
        <v>2970</v>
      </c>
      <c r="G15" s="14" t="s">
        <v>2970</v>
      </c>
      <c r="H15" s="16">
        <v>45128</v>
      </c>
      <c r="I15" s="14">
        <f t="shared" si="0"/>
        <v>0</v>
      </c>
      <c r="J15" s="14">
        <f t="shared" si="1"/>
        <v>0</v>
      </c>
      <c r="K15" s="14">
        <f t="shared" si="2"/>
        <v>0</v>
      </c>
      <c r="L15" s="14">
        <f t="shared" si="3"/>
        <v>0</v>
      </c>
      <c r="M15" s="14">
        <f t="shared" si="4"/>
        <v>0</v>
      </c>
      <c r="N15" s="14">
        <f t="shared" si="5"/>
        <v>0</v>
      </c>
      <c r="O15" s="14">
        <f t="shared" si="6"/>
        <v>0</v>
      </c>
      <c r="P15" s="14">
        <f t="shared" si="7"/>
        <v>0</v>
      </c>
    </row>
    <row r="16" spans="1:16" ht="15" customHeight="1" x14ac:dyDescent="0.2">
      <c r="A16" s="14" t="s">
        <v>3008</v>
      </c>
      <c r="B16" s="14" t="s">
        <v>3009</v>
      </c>
      <c r="C16" s="14" t="s">
        <v>2976</v>
      </c>
      <c r="D16" s="14" t="s">
        <v>2977</v>
      </c>
      <c r="E16" s="14" t="s">
        <v>2970</v>
      </c>
      <c r="F16" s="14" t="s">
        <v>2971</v>
      </c>
      <c r="G16" s="14" t="s">
        <v>2971</v>
      </c>
      <c r="H16" s="16">
        <v>44257</v>
      </c>
      <c r="I16" s="14">
        <f t="shared" si="0"/>
        <v>0</v>
      </c>
      <c r="J16" s="14">
        <f t="shared" si="1"/>
        <v>1</v>
      </c>
      <c r="K16" s="14">
        <f t="shared" si="2"/>
        <v>1</v>
      </c>
      <c r="L16" s="14">
        <f t="shared" si="3"/>
        <v>1</v>
      </c>
      <c r="M16" s="14">
        <f t="shared" si="4"/>
        <v>0</v>
      </c>
      <c r="N16" s="14">
        <f t="shared" si="5"/>
        <v>0</v>
      </c>
      <c r="O16" s="14">
        <f t="shared" si="6"/>
        <v>0</v>
      </c>
      <c r="P16" s="14">
        <f t="shared" si="7"/>
        <v>1</v>
      </c>
    </row>
    <row r="17" spans="1:16" ht="15" customHeight="1" x14ac:dyDescent="0.2">
      <c r="A17" s="14" t="s">
        <v>3010</v>
      </c>
      <c r="B17" s="14" t="s">
        <v>3011</v>
      </c>
      <c r="C17" s="14" t="s">
        <v>2976</v>
      </c>
      <c r="D17" s="14" t="s">
        <v>2977</v>
      </c>
      <c r="E17" s="14" t="s">
        <v>2970</v>
      </c>
      <c r="F17" s="14" t="s">
        <v>2971</v>
      </c>
      <c r="G17" s="14" t="s">
        <v>2971</v>
      </c>
      <c r="H17" s="16">
        <v>44218</v>
      </c>
      <c r="I17" s="14">
        <f t="shared" si="0"/>
        <v>0</v>
      </c>
      <c r="J17" s="14">
        <f t="shared" si="1"/>
        <v>1</v>
      </c>
      <c r="K17" s="14">
        <f t="shared" si="2"/>
        <v>1</v>
      </c>
      <c r="L17" s="14">
        <f t="shared" si="3"/>
        <v>1</v>
      </c>
      <c r="M17" s="14">
        <f t="shared" si="4"/>
        <v>0</v>
      </c>
      <c r="N17" s="14">
        <f t="shared" si="5"/>
        <v>0</v>
      </c>
      <c r="O17" s="14">
        <f t="shared" si="6"/>
        <v>0</v>
      </c>
      <c r="P17" s="14">
        <f t="shared" si="7"/>
        <v>1</v>
      </c>
    </row>
    <row r="18" spans="1:16" ht="15" customHeight="1" x14ac:dyDescent="0.2">
      <c r="A18" s="14" t="s">
        <v>3012</v>
      </c>
      <c r="B18" s="14" t="s">
        <v>3013</v>
      </c>
      <c r="C18" s="14" t="s">
        <v>2993</v>
      </c>
      <c r="D18" s="14" t="s">
        <v>2994</v>
      </c>
      <c r="E18" s="14" t="s">
        <v>2970</v>
      </c>
      <c r="F18" s="14" t="s">
        <v>2970</v>
      </c>
      <c r="G18" s="14" t="s">
        <v>2970</v>
      </c>
      <c r="H18" s="16">
        <v>44342</v>
      </c>
      <c r="I18" s="14">
        <f t="shared" si="0"/>
        <v>0</v>
      </c>
      <c r="J18" s="14">
        <f t="shared" si="1"/>
        <v>0</v>
      </c>
      <c r="K18" s="14">
        <f t="shared" si="2"/>
        <v>0</v>
      </c>
      <c r="L18" s="14">
        <f t="shared" si="3"/>
        <v>0</v>
      </c>
      <c r="M18" s="14">
        <f t="shared" si="4"/>
        <v>0</v>
      </c>
      <c r="N18" s="14">
        <f t="shared" si="5"/>
        <v>0</v>
      </c>
      <c r="O18" s="14">
        <f t="shared" si="6"/>
        <v>0</v>
      </c>
      <c r="P18" s="14">
        <f t="shared" si="7"/>
        <v>0</v>
      </c>
    </row>
    <row r="19" spans="1:16" ht="15" customHeight="1" x14ac:dyDescent="0.2">
      <c r="A19" s="14" t="s">
        <v>3014</v>
      </c>
      <c r="B19" s="14" t="s">
        <v>3015</v>
      </c>
      <c r="C19" s="14" t="s">
        <v>3016</v>
      </c>
      <c r="D19" s="14" t="s">
        <v>2990</v>
      </c>
      <c r="E19" s="14" t="s">
        <v>2971</v>
      </c>
      <c r="F19" s="14" t="s">
        <v>2970</v>
      </c>
      <c r="G19" s="14" t="s">
        <v>2970</v>
      </c>
      <c r="H19" s="16">
        <v>45419</v>
      </c>
      <c r="I19" s="14">
        <f t="shared" si="0"/>
        <v>1</v>
      </c>
      <c r="J19" s="14">
        <f t="shared" si="1"/>
        <v>0</v>
      </c>
      <c r="K19" s="14">
        <f t="shared" si="2"/>
        <v>0</v>
      </c>
      <c r="L19" s="14">
        <f t="shared" si="3"/>
        <v>0</v>
      </c>
      <c r="M19" s="14">
        <f t="shared" si="4"/>
        <v>0</v>
      </c>
      <c r="N19" s="14">
        <f t="shared" si="5"/>
        <v>0</v>
      </c>
      <c r="O19" s="14">
        <f t="shared" si="6"/>
        <v>0</v>
      </c>
      <c r="P19" s="14">
        <f t="shared" si="7"/>
        <v>0</v>
      </c>
    </row>
    <row r="20" spans="1:16" ht="15" customHeight="1" x14ac:dyDescent="0.2">
      <c r="A20" s="14" t="s">
        <v>3017</v>
      </c>
      <c r="B20" s="14" t="s">
        <v>3018</v>
      </c>
      <c r="C20" s="14" t="s">
        <v>2993</v>
      </c>
      <c r="D20" s="14" t="s">
        <v>2994</v>
      </c>
      <c r="E20" s="14" t="s">
        <v>2970</v>
      </c>
      <c r="F20" s="14" t="s">
        <v>2970</v>
      </c>
      <c r="G20" s="14" t="s">
        <v>2970</v>
      </c>
      <c r="H20" s="16">
        <v>44883</v>
      </c>
      <c r="I20" s="14">
        <f t="shared" si="0"/>
        <v>0</v>
      </c>
      <c r="J20" s="14">
        <f t="shared" si="1"/>
        <v>0</v>
      </c>
      <c r="K20" s="14">
        <f t="shared" si="2"/>
        <v>0</v>
      </c>
      <c r="L20" s="14">
        <f t="shared" si="3"/>
        <v>0</v>
      </c>
      <c r="M20" s="14">
        <f t="shared" si="4"/>
        <v>0</v>
      </c>
      <c r="N20" s="14">
        <f t="shared" si="5"/>
        <v>0</v>
      </c>
      <c r="O20" s="14">
        <f t="shared" si="6"/>
        <v>0</v>
      </c>
      <c r="P20" s="14">
        <f t="shared" si="7"/>
        <v>0</v>
      </c>
    </row>
    <row r="21" spans="1:16" ht="15" customHeight="1" x14ac:dyDescent="0.2">
      <c r="A21" s="14" t="s">
        <v>3019</v>
      </c>
      <c r="B21" s="14" t="s">
        <v>3020</v>
      </c>
      <c r="C21" s="14" t="s">
        <v>3001</v>
      </c>
      <c r="D21" s="14" t="s">
        <v>2969</v>
      </c>
      <c r="E21" s="14" t="s">
        <v>2970</v>
      </c>
      <c r="F21" s="14" t="s">
        <v>2971</v>
      </c>
      <c r="G21" s="14" t="s">
        <v>2970</v>
      </c>
      <c r="H21" s="16">
        <v>45764</v>
      </c>
      <c r="I21" s="14">
        <f t="shared" si="0"/>
        <v>0</v>
      </c>
      <c r="J21" s="14">
        <f t="shared" si="1"/>
        <v>1</v>
      </c>
      <c r="K21" s="14">
        <f t="shared" si="2"/>
        <v>0</v>
      </c>
      <c r="L21" s="14">
        <f t="shared" si="3"/>
        <v>0</v>
      </c>
      <c r="M21" s="14">
        <f t="shared" si="4"/>
        <v>0</v>
      </c>
      <c r="N21" s="14">
        <f t="shared" si="5"/>
        <v>0</v>
      </c>
      <c r="O21" s="14">
        <f t="shared" si="6"/>
        <v>0</v>
      </c>
      <c r="P21" s="14">
        <f t="shared" si="7"/>
        <v>0</v>
      </c>
    </row>
    <row r="22" spans="1:16" ht="15" customHeight="1" x14ac:dyDescent="0.2">
      <c r="A22" s="14" t="s">
        <v>3021</v>
      </c>
      <c r="B22" s="14" t="s">
        <v>3022</v>
      </c>
      <c r="C22" s="14" t="s">
        <v>2993</v>
      </c>
      <c r="D22" s="14" t="s">
        <v>2994</v>
      </c>
      <c r="E22" s="14" t="s">
        <v>2970</v>
      </c>
      <c r="F22" s="14" t="s">
        <v>2970</v>
      </c>
      <c r="G22" s="14" t="s">
        <v>2970</v>
      </c>
      <c r="H22" s="16">
        <v>44543</v>
      </c>
      <c r="I22" s="14">
        <f t="shared" si="0"/>
        <v>0</v>
      </c>
      <c r="J22" s="14">
        <f t="shared" si="1"/>
        <v>0</v>
      </c>
      <c r="K22" s="14">
        <f t="shared" si="2"/>
        <v>0</v>
      </c>
      <c r="L22" s="14">
        <f t="shared" si="3"/>
        <v>0</v>
      </c>
      <c r="M22" s="14">
        <f t="shared" si="4"/>
        <v>0</v>
      </c>
      <c r="N22" s="14">
        <f t="shared" si="5"/>
        <v>0</v>
      </c>
      <c r="O22" s="14">
        <f t="shared" si="6"/>
        <v>0</v>
      </c>
      <c r="P22" s="14">
        <f t="shared" si="7"/>
        <v>0</v>
      </c>
    </row>
    <row r="23" spans="1:16" ht="15" customHeight="1" x14ac:dyDescent="0.2">
      <c r="A23" s="14" t="s">
        <v>3023</v>
      </c>
      <c r="B23" s="14" t="s">
        <v>3024</v>
      </c>
      <c r="C23" s="14" t="s">
        <v>2976</v>
      </c>
      <c r="D23" s="14" t="s">
        <v>2977</v>
      </c>
      <c r="E23" s="14" t="s">
        <v>2970</v>
      </c>
      <c r="F23" s="14" t="s">
        <v>2971</v>
      </c>
      <c r="G23" s="14" t="s">
        <v>2971</v>
      </c>
      <c r="H23" s="16">
        <v>44701</v>
      </c>
      <c r="I23" s="14">
        <f t="shared" si="0"/>
        <v>0</v>
      </c>
      <c r="J23" s="14">
        <f t="shared" si="1"/>
        <v>1</v>
      </c>
      <c r="K23" s="14">
        <f t="shared" si="2"/>
        <v>1</v>
      </c>
      <c r="L23" s="14">
        <f t="shared" si="3"/>
        <v>1</v>
      </c>
      <c r="M23" s="14">
        <f t="shared" si="4"/>
        <v>0</v>
      </c>
      <c r="N23" s="14">
        <f t="shared" si="5"/>
        <v>0</v>
      </c>
      <c r="O23" s="14">
        <f t="shared" si="6"/>
        <v>0</v>
      </c>
      <c r="P23" s="14">
        <f t="shared" si="7"/>
        <v>1</v>
      </c>
    </row>
    <row r="24" spans="1:16" ht="15" customHeight="1" x14ac:dyDescent="0.2">
      <c r="A24" s="14" t="s">
        <v>3025</v>
      </c>
      <c r="B24" s="14" t="s">
        <v>3026</v>
      </c>
      <c r="C24" s="14" t="s">
        <v>2976</v>
      </c>
      <c r="D24" s="14" t="s">
        <v>2977</v>
      </c>
      <c r="E24" s="14" t="s">
        <v>2970</v>
      </c>
      <c r="F24" s="14" t="s">
        <v>2971</v>
      </c>
      <c r="G24" s="14" t="s">
        <v>2971</v>
      </c>
      <c r="H24" s="16">
        <v>45334</v>
      </c>
      <c r="I24" s="14">
        <f t="shared" si="0"/>
        <v>0</v>
      </c>
      <c r="J24" s="14">
        <f t="shared" si="1"/>
        <v>1</v>
      </c>
      <c r="K24" s="14">
        <f t="shared" si="2"/>
        <v>1</v>
      </c>
      <c r="L24" s="14">
        <f t="shared" si="3"/>
        <v>1</v>
      </c>
      <c r="M24" s="14">
        <f t="shared" si="4"/>
        <v>0</v>
      </c>
      <c r="N24" s="14">
        <f t="shared" si="5"/>
        <v>0</v>
      </c>
      <c r="O24" s="14">
        <f t="shared" si="6"/>
        <v>0</v>
      </c>
      <c r="P24" s="14">
        <f t="shared" si="7"/>
        <v>1</v>
      </c>
    </row>
    <row r="25" spans="1:16" ht="15" customHeight="1" x14ac:dyDescent="0.2">
      <c r="A25" s="14" t="s">
        <v>3027</v>
      </c>
      <c r="B25" s="14" t="s">
        <v>3028</v>
      </c>
      <c r="C25" s="14" t="s">
        <v>2980</v>
      </c>
      <c r="D25" s="14" t="s">
        <v>2981</v>
      </c>
      <c r="E25" s="14" t="s">
        <v>2970</v>
      </c>
      <c r="F25" s="14" t="s">
        <v>2970</v>
      </c>
      <c r="G25" s="14" t="s">
        <v>2971</v>
      </c>
      <c r="H25" s="16">
        <v>45328</v>
      </c>
      <c r="I25" s="14">
        <f t="shared" si="0"/>
        <v>0</v>
      </c>
      <c r="J25" s="14">
        <f t="shared" si="1"/>
        <v>0</v>
      </c>
      <c r="K25" s="14">
        <f t="shared" si="2"/>
        <v>1</v>
      </c>
      <c r="L25" s="14">
        <f t="shared" si="3"/>
        <v>0</v>
      </c>
      <c r="M25" s="14">
        <f t="shared" si="4"/>
        <v>0</v>
      </c>
      <c r="N25" s="14">
        <f t="shared" si="5"/>
        <v>0</v>
      </c>
      <c r="O25" s="14">
        <f t="shared" si="6"/>
        <v>0</v>
      </c>
      <c r="P25" s="14">
        <f t="shared" si="7"/>
        <v>0</v>
      </c>
    </row>
    <row r="26" spans="1:16" ht="15" customHeight="1" x14ac:dyDescent="0.2">
      <c r="A26" s="14" t="s">
        <v>3029</v>
      </c>
      <c r="B26" s="14" t="s">
        <v>3030</v>
      </c>
      <c r="C26" s="14" t="s">
        <v>2993</v>
      </c>
      <c r="D26" s="14" t="s">
        <v>2994</v>
      </c>
      <c r="E26" s="14" t="s">
        <v>2970</v>
      </c>
      <c r="F26" s="14" t="s">
        <v>2970</v>
      </c>
      <c r="G26" s="14" t="s">
        <v>2970</v>
      </c>
      <c r="H26" s="16">
        <v>45702</v>
      </c>
      <c r="I26" s="14">
        <f t="shared" si="0"/>
        <v>0</v>
      </c>
      <c r="J26" s="14">
        <f t="shared" si="1"/>
        <v>0</v>
      </c>
      <c r="K26" s="14">
        <f t="shared" si="2"/>
        <v>0</v>
      </c>
      <c r="L26" s="14">
        <f t="shared" si="3"/>
        <v>0</v>
      </c>
      <c r="M26" s="14">
        <f t="shared" si="4"/>
        <v>0</v>
      </c>
      <c r="N26" s="14">
        <f t="shared" si="5"/>
        <v>0</v>
      </c>
      <c r="O26" s="14">
        <f t="shared" si="6"/>
        <v>0</v>
      </c>
      <c r="P26" s="14">
        <f t="shared" si="7"/>
        <v>0</v>
      </c>
    </row>
    <row r="27" spans="1:16" ht="15" customHeight="1" x14ac:dyDescent="0.2">
      <c r="A27" s="14" t="s">
        <v>3031</v>
      </c>
      <c r="B27" s="14" t="s">
        <v>3032</v>
      </c>
      <c r="C27" s="14" t="s">
        <v>2989</v>
      </c>
      <c r="D27" s="14" t="s">
        <v>2990</v>
      </c>
      <c r="E27" s="14" t="s">
        <v>2971</v>
      </c>
      <c r="F27" s="14" t="s">
        <v>2970</v>
      </c>
      <c r="G27" s="14" t="s">
        <v>2970</v>
      </c>
      <c r="H27" s="16">
        <v>44850</v>
      </c>
      <c r="I27" s="14">
        <f t="shared" si="0"/>
        <v>1</v>
      </c>
      <c r="J27" s="14">
        <f t="shared" si="1"/>
        <v>0</v>
      </c>
      <c r="K27" s="14">
        <f t="shared" si="2"/>
        <v>0</v>
      </c>
      <c r="L27" s="14">
        <f t="shared" si="3"/>
        <v>0</v>
      </c>
      <c r="M27" s="14">
        <f t="shared" si="4"/>
        <v>0</v>
      </c>
      <c r="N27" s="14">
        <f t="shared" si="5"/>
        <v>0</v>
      </c>
      <c r="O27" s="14">
        <f t="shared" si="6"/>
        <v>0</v>
      </c>
      <c r="P27" s="14">
        <f t="shared" si="7"/>
        <v>0</v>
      </c>
    </row>
    <row r="28" spans="1:16" ht="15" customHeight="1" x14ac:dyDescent="0.2">
      <c r="A28" s="14" t="s">
        <v>3033</v>
      </c>
      <c r="B28" s="14" t="s">
        <v>3034</v>
      </c>
      <c r="C28" s="14" t="s">
        <v>2976</v>
      </c>
      <c r="D28" s="14" t="s">
        <v>2977</v>
      </c>
      <c r="E28" s="14" t="s">
        <v>2970</v>
      </c>
      <c r="F28" s="14" t="s">
        <v>2971</v>
      </c>
      <c r="G28" s="14" t="s">
        <v>2971</v>
      </c>
      <c r="H28" s="16">
        <v>44760</v>
      </c>
      <c r="I28" s="14">
        <f t="shared" si="0"/>
        <v>0</v>
      </c>
      <c r="J28" s="14">
        <f t="shared" si="1"/>
        <v>1</v>
      </c>
      <c r="K28" s="14">
        <f t="shared" si="2"/>
        <v>1</v>
      </c>
      <c r="L28" s="14">
        <f t="shared" si="3"/>
        <v>1</v>
      </c>
      <c r="M28" s="14">
        <f t="shared" si="4"/>
        <v>0</v>
      </c>
      <c r="N28" s="14">
        <f t="shared" si="5"/>
        <v>0</v>
      </c>
      <c r="O28" s="14">
        <f t="shared" si="6"/>
        <v>0</v>
      </c>
      <c r="P28" s="14">
        <f t="shared" si="7"/>
        <v>1</v>
      </c>
    </row>
    <row r="29" spans="1:16" ht="15" customHeight="1" x14ac:dyDescent="0.2">
      <c r="A29" s="14" t="s">
        <v>3035</v>
      </c>
      <c r="B29" s="14" t="s">
        <v>3036</v>
      </c>
      <c r="C29" s="14" t="s">
        <v>3037</v>
      </c>
      <c r="D29" s="14" t="s">
        <v>2981</v>
      </c>
      <c r="E29" s="14" t="s">
        <v>2970</v>
      </c>
      <c r="F29" s="14" t="s">
        <v>2970</v>
      </c>
      <c r="G29" s="14" t="s">
        <v>2971</v>
      </c>
      <c r="H29" s="16">
        <v>45123</v>
      </c>
      <c r="I29" s="14">
        <f t="shared" si="0"/>
        <v>0</v>
      </c>
      <c r="J29" s="14">
        <f t="shared" si="1"/>
        <v>0</v>
      </c>
      <c r="K29" s="14">
        <f t="shared" si="2"/>
        <v>1</v>
      </c>
      <c r="L29" s="14">
        <f t="shared" si="3"/>
        <v>0</v>
      </c>
      <c r="M29" s="14">
        <f t="shared" si="4"/>
        <v>0</v>
      </c>
      <c r="N29" s="14">
        <f t="shared" si="5"/>
        <v>0</v>
      </c>
      <c r="O29" s="14">
        <f t="shared" si="6"/>
        <v>0</v>
      </c>
      <c r="P29" s="14">
        <f t="shared" si="7"/>
        <v>0</v>
      </c>
    </row>
    <row r="30" spans="1:16" ht="15" customHeight="1" x14ac:dyDescent="0.2">
      <c r="A30" s="14" t="s">
        <v>3038</v>
      </c>
      <c r="B30" s="14" t="s">
        <v>3039</v>
      </c>
      <c r="C30" s="14" t="s">
        <v>2968</v>
      </c>
      <c r="D30" s="14" t="s">
        <v>2969</v>
      </c>
      <c r="E30" s="14" t="s">
        <v>2970</v>
      </c>
      <c r="F30" s="14" t="s">
        <v>2971</v>
      </c>
      <c r="G30" s="14" t="s">
        <v>2970</v>
      </c>
      <c r="H30" s="16">
        <v>45695</v>
      </c>
      <c r="I30" s="14">
        <f t="shared" si="0"/>
        <v>0</v>
      </c>
      <c r="J30" s="14">
        <f t="shared" si="1"/>
        <v>1</v>
      </c>
      <c r="K30" s="14">
        <f t="shared" si="2"/>
        <v>0</v>
      </c>
      <c r="L30" s="14">
        <f t="shared" si="3"/>
        <v>0</v>
      </c>
      <c r="M30" s="14">
        <f t="shared" si="4"/>
        <v>0</v>
      </c>
      <c r="N30" s="14">
        <f t="shared" si="5"/>
        <v>0</v>
      </c>
      <c r="O30" s="14">
        <f t="shared" si="6"/>
        <v>0</v>
      </c>
      <c r="P30" s="14">
        <f t="shared" si="7"/>
        <v>0</v>
      </c>
    </row>
    <row r="31" spans="1:16" ht="15" customHeight="1" x14ac:dyDescent="0.2">
      <c r="A31" s="14" t="s">
        <v>3040</v>
      </c>
      <c r="B31" s="14" t="s">
        <v>3041</v>
      </c>
      <c r="C31" s="14" t="s">
        <v>2976</v>
      </c>
      <c r="D31" s="14" t="s">
        <v>2977</v>
      </c>
      <c r="E31" s="14" t="s">
        <v>2970</v>
      </c>
      <c r="F31" s="14" t="s">
        <v>2971</v>
      </c>
      <c r="G31" s="14" t="s">
        <v>2971</v>
      </c>
      <c r="H31" s="16">
        <v>44779</v>
      </c>
      <c r="I31" s="14">
        <f t="shared" si="0"/>
        <v>0</v>
      </c>
      <c r="J31" s="14">
        <f t="shared" si="1"/>
        <v>1</v>
      </c>
      <c r="K31" s="14">
        <f t="shared" si="2"/>
        <v>1</v>
      </c>
      <c r="L31" s="14">
        <f t="shared" si="3"/>
        <v>1</v>
      </c>
      <c r="M31" s="14">
        <f t="shared" si="4"/>
        <v>0</v>
      </c>
      <c r="N31" s="14">
        <f t="shared" si="5"/>
        <v>0</v>
      </c>
      <c r="O31" s="14">
        <f t="shared" si="6"/>
        <v>0</v>
      </c>
      <c r="P31" s="14">
        <f t="shared" si="7"/>
        <v>1</v>
      </c>
    </row>
    <row r="32" spans="1:16" ht="15" customHeight="1" x14ac:dyDescent="0.2">
      <c r="A32" s="14" t="s">
        <v>3042</v>
      </c>
      <c r="B32" s="14" t="s">
        <v>3043</v>
      </c>
      <c r="C32" s="14" t="s">
        <v>2968</v>
      </c>
      <c r="D32" s="14" t="s">
        <v>2969</v>
      </c>
      <c r="E32" s="14" t="s">
        <v>2970</v>
      </c>
      <c r="F32" s="14" t="s">
        <v>2971</v>
      </c>
      <c r="G32" s="14" t="s">
        <v>2970</v>
      </c>
      <c r="H32" s="16">
        <v>44624</v>
      </c>
      <c r="I32" s="14">
        <f t="shared" si="0"/>
        <v>0</v>
      </c>
      <c r="J32" s="14">
        <f t="shared" si="1"/>
        <v>1</v>
      </c>
      <c r="K32" s="14">
        <f t="shared" si="2"/>
        <v>0</v>
      </c>
      <c r="L32" s="14">
        <f t="shared" si="3"/>
        <v>0</v>
      </c>
      <c r="M32" s="14">
        <f t="shared" si="4"/>
        <v>0</v>
      </c>
      <c r="N32" s="14">
        <f t="shared" si="5"/>
        <v>0</v>
      </c>
      <c r="O32" s="14">
        <f t="shared" si="6"/>
        <v>0</v>
      </c>
      <c r="P32" s="14">
        <f t="shared" si="7"/>
        <v>0</v>
      </c>
    </row>
    <row r="33" spans="1:16" ht="15" customHeight="1" x14ac:dyDescent="0.2">
      <c r="A33" s="14" t="s">
        <v>3044</v>
      </c>
      <c r="B33" s="14" t="s">
        <v>3045</v>
      </c>
      <c r="C33" s="14" t="s">
        <v>2976</v>
      </c>
      <c r="D33" s="14" t="s">
        <v>2977</v>
      </c>
      <c r="E33" s="14" t="s">
        <v>2970</v>
      </c>
      <c r="F33" s="14" t="s">
        <v>2971</v>
      </c>
      <c r="G33" s="14" t="s">
        <v>2971</v>
      </c>
      <c r="H33" s="16">
        <v>44717</v>
      </c>
      <c r="I33" s="14">
        <f t="shared" si="0"/>
        <v>0</v>
      </c>
      <c r="J33" s="14">
        <f t="shared" si="1"/>
        <v>1</v>
      </c>
      <c r="K33" s="14">
        <f t="shared" si="2"/>
        <v>1</v>
      </c>
      <c r="L33" s="14">
        <f t="shared" si="3"/>
        <v>1</v>
      </c>
      <c r="M33" s="14">
        <f t="shared" si="4"/>
        <v>0</v>
      </c>
      <c r="N33" s="14">
        <f t="shared" si="5"/>
        <v>0</v>
      </c>
      <c r="O33" s="14">
        <f t="shared" si="6"/>
        <v>0</v>
      </c>
      <c r="P33" s="14">
        <f t="shared" si="7"/>
        <v>1</v>
      </c>
    </row>
    <row r="34" spans="1:16" ht="15" customHeight="1" x14ac:dyDescent="0.2">
      <c r="A34" s="14" t="s">
        <v>3046</v>
      </c>
      <c r="B34" s="14" t="s">
        <v>3047</v>
      </c>
      <c r="C34" s="14" t="s">
        <v>2993</v>
      </c>
      <c r="D34" s="14" t="s">
        <v>2994</v>
      </c>
      <c r="E34" s="14" t="s">
        <v>2970</v>
      </c>
      <c r="F34" s="14" t="s">
        <v>2970</v>
      </c>
      <c r="G34" s="14" t="s">
        <v>2970</v>
      </c>
      <c r="H34" s="16">
        <v>45190</v>
      </c>
      <c r="I34" s="14">
        <f t="shared" ref="I34:I61" si="8">IF(E34="Yes",1,0)</f>
        <v>0</v>
      </c>
      <c r="J34" s="14">
        <f t="shared" ref="J34:J61" si="9">IF(F34="Yes",1,0)</f>
        <v>0</v>
      </c>
      <c r="K34" s="14">
        <f t="shared" ref="K34:K61" si="10">IF(G34="Yes",1,0)</f>
        <v>0</v>
      </c>
      <c r="L34" s="14">
        <f t="shared" ref="L34:L61" si="11">IF(AND(SUMIF($A$2:$A$61,A34,$J$2:$J$61)&gt;0,SUMIF($A$2:$A$61,A34,$K$2:$K$61)&gt;0),1,0)</f>
        <v>0</v>
      </c>
      <c r="M34" s="14">
        <f t="shared" ref="M34:M61" si="12">IF(AND(SUMIF($A$2:$A$61,A34,$I$2:$I$61)&gt;0,SUMIF($A$2:$A$61,A34,$K$2:$K$61)&gt;0),1,0)</f>
        <v>0</v>
      </c>
      <c r="N34" s="14">
        <f t="shared" ref="N34:N61" si="13">IF(AND(SUMIF($A$2:$A$61,A34,$I$2:$I$61)&gt;0,SUMIF($A$2:$A$61,A34,$J$2:$J$61)&gt;0,SUMIF($A$2:$A$61,A34,$K$2:$K$61)&gt;0),1,0)</f>
        <v>0</v>
      </c>
      <c r="O34" s="14">
        <f t="shared" ref="O34:O61" si="14">IF(COUNTIF($A$2:$A$61,A34)&gt;1,1,0)</f>
        <v>0</v>
      </c>
      <c r="P34" s="14">
        <f t="shared" ref="P34:P61" si="15">IF(OR(L34=1,M34=1,N34=1),1,0)</f>
        <v>0</v>
      </c>
    </row>
    <row r="35" spans="1:16" ht="15" customHeight="1" x14ac:dyDescent="0.2">
      <c r="A35" s="14" t="s">
        <v>3048</v>
      </c>
      <c r="B35" s="14" t="s">
        <v>3049</v>
      </c>
      <c r="C35" s="14" t="s">
        <v>2993</v>
      </c>
      <c r="D35" s="14" t="s">
        <v>2994</v>
      </c>
      <c r="E35" s="14" t="s">
        <v>2970</v>
      </c>
      <c r="F35" s="14" t="s">
        <v>2970</v>
      </c>
      <c r="G35" s="14" t="s">
        <v>2970</v>
      </c>
      <c r="H35" s="16">
        <v>45362</v>
      </c>
      <c r="I35" s="14">
        <f t="shared" si="8"/>
        <v>0</v>
      </c>
      <c r="J35" s="14">
        <f t="shared" si="9"/>
        <v>0</v>
      </c>
      <c r="K35" s="14">
        <f t="shared" si="10"/>
        <v>0</v>
      </c>
      <c r="L35" s="14">
        <f t="shared" si="11"/>
        <v>0</v>
      </c>
      <c r="M35" s="14">
        <f t="shared" si="12"/>
        <v>0</v>
      </c>
      <c r="N35" s="14">
        <f t="shared" si="13"/>
        <v>0</v>
      </c>
      <c r="O35" s="14">
        <f t="shared" si="14"/>
        <v>0</v>
      </c>
      <c r="P35" s="14">
        <f t="shared" si="15"/>
        <v>0</v>
      </c>
    </row>
    <row r="36" spans="1:16" ht="15" customHeight="1" x14ac:dyDescent="0.2">
      <c r="A36" s="14" t="s">
        <v>3050</v>
      </c>
      <c r="B36" s="14" t="s">
        <v>3051</v>
      </c>
      <c r="C36" s="14" t="s">
        <v>2993</v>
      </c>
      <c r="D36" s="14" t="s">
        <v>2994</v>
      </c>
      <c r="E36" s="14" t="s">
        <v>2970</v>
      </c>
      <c r="F36" s="14" t="s">
        <v>2970</v>
      </c>
      <c r="G36" s="14" t="s">
        <v>2970</v>
      </c>
      <c r="H36" s="16">
        <v>45371</v>
      </c>
      <c r="I36" s="14">
        <f t="shared" si="8"/>
        <v>0</v>
      </c>
      <c r="J36" s="14">
        <f t="shared" si="9"/>
        <v>0</v>
      </c>
      <c r="K36" s="14">
        <f t="shared" si="10"/>
        <v>0</v>
      </c>
      <c r="L36" s="14">
        <f t="shared" si="11"/>
        <v>0</v>
      </c>
      <c r="M36" s="14">
        <f t="shared" si="12"/>
        <v>0</v>
      </c>
      <c r="N36" s="14">
        <f t="shared" si="13"/>
        <v>0</v>
      </c>
      <c r="O36" s="14">
        <f t="shared" si="14"/>
        <v>0</v>
      </c>
      <c r="P36" s="14">
        <f t="shared" si="15"/>
        <v>0</v>
      </c>
    </row>
    <row r="37" spans="1:16" ht="15" customHeight="1" x14ac:dyDescent="0.2">
      <c r="A37" s="14" t="s">
        <v>3052</v>
      </c>
      <c r="B37" s="14" t="s">
        <v>3053</v>
      </c>
      <c r="C37" s="14" t="s">
        <v>2980</v>
      </c>
      <c r="D37" s="14" t="s">
        <v>2981</v>
      </c>
      <c r="E37" s="14" t="s">
        <v>2970</v>
      </c>
      <c r="F37" s="14" t="s">
        <v>2971</v>
      </c>
      <c r="G37" s="14" t="s">
        <v>2971</v>
      </c>
      <c r="H37" s="16">
        <v>45826</v>
      </c>
      <c r="I37" s="14">
        <f t="shared" si="8"/>
        <v>0</v>
      </c>
      <c r="J37" s="14">
        <f t="shared" si="9"/>
        <v>1</v>
      </c>
      <c r="K37" s="14">
        <f t="shared" si="10"/>
        <v>1</v>
      </c>
      <c r="L37" s="14">
        <f t="shared" si="11"/>
        <v>1</v>
      </c>
      <c r="M37" s="14">
        <f t="shared" si="12"/>
        <v>0</v>
      </c>
      <c r="N37" s="14">
        <f t="shared" si="13"/>
        <v>0</v>
      </c>
      <c r="O37" s="14">
        <f t="shared" si="14"/>
        <v>0</v>
      </c>
      <c r="P37" s="14">
        <f t="shared" si="15"/>
        <v>1</v>
      </c>
    </row>
    <row r="38" spans="1:16" ht="15" customHeight="1" x14ac:dyDescent="0.2">
      <c r="A38" s="14" t="s">
        <v>3054</v>
      </c>
      <c r="B38" s="14" t="s">
        <v>3055</v>
      </c>
      <c r="C38" s="14" t="s">
        <v>3056</v>
      </c>
      <c r="D38" s="14" t="s">
        <v>2990</v>
      </c>
      <c r="E38" s="14" t="s">
        <v>2971</v>
      </c>
      <c r="F38" s="14" t="s">
        <v>2970</v>
      </c>
      <c r="G38" s="14" t="s">
        <v>2970</v>
      </c>
      <c r="H38" s="16">
        <v>44830</v>
      </c>
      <c r="I38" s="14">
        <f t="shared" si="8"/>
        <v>1</v>
      </c>
      <c r="J38" s="14">
        <f t="shared" si="9"/>
        <v>0</v>
      </c>
      <c r="K38" s="14">
        <f t="shared" si="10"/>
        <v>0</v>
      </c>
      <c r="L38" s="14">
        <f t="shared" si="11"/>
        <v>0</v>
      </c>
      <c r="M38" s="14">
        <f t="shared" si="12"/>
        <v>0</v>
      </c>
      <c r="N38" s="14">
        <f t="shared" si="13"/>
        <v>0</v>
      </c>
      <c r="O38" s="14">
        <f t="shared" si="14"/>
        <v>0</v>
      </c>
      <c r="P38" s="14">
        <f t="shared" si="15"/>
        <v>0</v>
      </c>
    </row>
    <row r="39" spans="1:16" ht="15" customHeight="1" x14ac:dyDescent="0.2">
      <c r="A39" s="14" t="s">
        <v>3057</v>
      </c>
      <c r="B39" s="14" t="s">
        <v>3058</v>
      </c>
      <c r="C39" s="14" t="s">
        <v>3001</v>
      </c>
      <c r="D39" s="14" t="s">
        <v>2969</v>
      </c>
      <c r="E39" s="14" t="s">
        <v>2970</v>
      </c>
      <c r="F39" s="14" t="s">
        <v>2971</v>
      </c>
      <c r="G39" s="14" t="s">
        <v>2970</v>
      </c>
      <c r="H39" s="16">
        <v>44215</v>
      </c>
      <c r="I39" s="14">
        <f t="shared" si="8"/>
        <v>0</v>
      </c>
      <c r="J39" s="14">
        <f t="shared" si="9"/>
        <v>1</v>
      </c>
      <c r="K39" s="14">
        <f t="shared" si="10"/>
        <v>0</v>
      </c>
      <c r="L39" s="14">
        <f t="shared" si="11"/>
        <v>0</v>
      </c>
      <c r="M39" s="14">
        <f t="shared" si="12"/>
        <v>0</v>
      </c>
      <c r="N39" s="14">
        <f t="shared" si="13"/>
        <v>0</v>
      </c>
      <c r="O39" s="14">
        <f t="shared" si="14"/>
        <v>0</v>
      </c>
      <c r="P39" s="14">
        <f t="shared" si="15"/>
        <v>0</v>
      </c>
    </row>
    <row r="40" spans="1:16" ht="15" customHeight="1" x14ac:dyDescent="0.2">
      <c r="A40" s="14" t="s">
        <v>3059</v>
      </c>
      <c r="B40" s="14" t="s">
        <v>3060</v>
      </c>
      <c r="C40" s="14" t="s">
        <v>3001</v>
      </c>
      <c r="D40" s="14" t="s">
        <v>2969</v>
      </c>
      <c r="E40" s="14" t="s">
        <v>2970</v>
      </c>
      <c r="F40" s="14" t="s">
        <v>2971</v>
      </c>
      <c r="G40" s="14" t="s">
        <v>2970</v>
      </c>
      <c r="H40" s="16">
        <v>45232</v>
      </c>
      <c r="I40" s="14">
        <f t="shared" si="8"/>
        <v>0</v>
      </c>
      <c r="J40" s="14">
        <f t="shared" si="9"/>
        <v>1</v>
      </c>
      <c r="K40" s="14">
        <f t="shared" si="10"/>
        <v>0</v>
      </c>
      <c r="L40" s="14">
        <f t="shared" si="11"/>
        <v>0</v>
      </c>
      <c r="M40" s="14">
        <f t="shared" si="12"/>
        <v>0</v>
      </c>
      <c r="N40" s="14">
        <f t="shared" si="13"/>
        <v>0</v>
      </c>
      <c r="O40" s="14">
        <f t="shared" si="14"/>
        <v>0</v>
      </c>
      <c r="P40" s="14">
        <f t="shared" si="15"/>
        <v>0</v>
      </c>
    </row>
    <row r="41" spans="1:16" ht="15" customHeight="1" x14ac:dyDescent="0.2">
      <c r="A41" s="14" t="s">
        <v>3061</v>
      </c>
      <c r="B41" s="14" t="s">
        <v>3062</v>
      </c>
      <c r="C41" s="14" t="s">
        <v>2993</v>
      </c>
      <c r="D41" s="14" t="s">
        <v>2994</v>
      </c>
      <c r="E41" s="14" t="s">
        <v>2970</v>
      </c>
      <c r="F41" s="14" t="s">
        <v>2970</v>
      </c>
      <c r="G41" s="14" t="s">
        <v>2970</v>
      </c>
      <c r="H41" s="16">
        <v>44411</v>
      </c>
      <c r="I41" s="14">
        <f t="shared" si="8"/>
        <v>0</v>
      </c>
      <c r="J41" s="14">
        <f t="shared" si="9"/>
        <v>0</v>
      </c>
      <c r="K41" s="14">
        <f t="shared" si="10"/>
        <v>0</v>
      </c>
      <c r="L41" s="14">
        <f t="shared" si="11"/>
        <v>0</v>
      </c>
      <c r="M41" s="14">
        <f t="shared" si="12"/>
        <v>0</v>
      </c>
      <c r="N41" s="14">
        <f t="shared" si="13"/>
        <v>0</v>
      </c>
      <c r="O41" s="14">
        <f t="shared" si="14"/>
        <v>0</v>
      </c>
      <c r="P41" s="14">
        <f t="shared" si="15"/>
        <v>0</v>
      </c>
    </row>
    <row r="42" spans="1:16" ht="15" customHeight="1" x14ac:dyDescent="0.2">
      <c r="A42" s="14" t="s">
        <v>3063</v>
      </c>
      <c r="B42" s="14" t="s">
        <v>3064</v>
      </c>
      <c r="C42" s="14" t="s">
        <v>2993</v>
      </c>
      <c r="D42" s="14" t="s">
        <v>2994</v>
      </c>
      <c r="E42" s="14" t="s">
        <v>2970</v>
      </c>
      <c r="F42" s="14" t="s">
        <v>2970</v>
      </c>
      <c r="G42" s="14" t="s">
        <v>2970</v>
      </c>
      <c r="H42" s="16">
        <v>44467</v>
      </c>
      <c r="I42" s="14">
        <f t="shared" si="8"/>
        <v>0</v>
      </c>
      <c r="J42" s="14">
        <f t="shared" si="9"/>
        <v>0</v>
      </c>
      <c r="K42" s="14">
        <f t="shared" si="10"/>
        <v>0</v>
      </c>
      <c r="L42" s="14">
        <f t="shared" si="11"/>
        <v>0</v>
      </c>
      <c r="M42" s="14">
        <f t="shared" si="12"/>
        <v>0</v>
      </c>
      <c r="N42" s="14">
        <f t="shared" si="13"/>
        <v>0</v>
      </c>
      <c r="O42" s="14">
        <f t="shared" si="14"/>
        <v>0</v>
      </c>
      <c r="P42" s="14">
        <f t="shared" si="15"/>
        <v>0</v>
      </c>
    </row>
    <row r="43" spans="1:16" ht="15" customHeight="1" x14ac:dyDescent="0.2">
      <c r="A43" s="14" t="s">
        <v>3065</v>
      </c>
      <c r="B43" s="14" t="s">
        <v>3066</v>
      </c>
      <c r="C43" s="14" t="s">
        <v>2976</v>
      </c>
      <c r="D43" s="14" t="s">
        <v>2977</v>
      </c>
      <c r="E43" s="14" t="s">
        <v>2970</v>
      </c>
      <c r="F43" s="14" t="s">
        <v>2971</v>
      </c>
      <c r="G43" s="14" t="s">
        <v>2971</v>
      </c>
      <c r="H43" s="16">
        <v>44563</v>
      </c>
      <c r="I43" s="14">
        <f t="shared" si="8"/>
        <v>0</v>
      </c>
      <c r="J43" s="14">
        <f t="shared" si="9"/>
        <v>1</v>
      </c>
      <c r="K43" s="14">
        <f t="shared" si="10"/>
        <v>1</v>
      </c>
      <c r="L43" s="14">
        <f t="shared" si="11"/>
        <v>1</v>
      </c>
      <c r="M43" s="14">
        <f t="shared" si="12"/>
        <v>0</v>
      </c>
      <c r="N43" s="14">
        <f t="shared" si="13"/>
        <v>0</v>
      </c>
      <c r="O43" s="14">
        <f t="shared" si="14"/>
        <v>0</v>
      </c>
      <c r="P43" s="14">
        <f t="shared" si="15"/>
        <v>1</v>
      </c>
    </row>
    <row r="44" spans="1:16" ht="15" customHeight="1" x14ac:dyDescent="0.2">
      <c r="A44" s="14" t="s">
        <v>3067</v>
      </c>
      <c r="B44" s="14" t="s">
        <v>3068</v>
      </c>
      <c r="C44" s="14" t="s">
        <v>2980</v>
      </c>
      <c r="D44" s="14" t="s">
        <v>2981</v>
      </c>
      <c r="E44" s="14" t="s">
        <v>2971</v>
      </c>
      <c r="F44" s="14" t="s">
        <v>2970</v>
      </c>
      <c r="G44" s="14" t="s">
        <v>2970</v>
      </c>
      <c r="H44" s="16">
        <v>45302</v>
      </c>
      <c r="I44" s="14">
        <f t="shared" si="8"/>
        <v>1</v>
      </c>
      <c r="J44" s="14">
        <f t="shared" si="9"/>
        <v>0</v>
      </c>
      <c r="K44" s="14">
        <f t="shared" si="10"/>
        <v>0</v>
      </c>
      <c r="L44" s="14">
        <f t="shared" si="11"/>
        <v>1</v>
      </c>
      <c r="M44" s="14">
        <f t="shared" si="12"/>
        <v>1</v>
      </c>
      <c r="N44" s="14">
        <f t="shared" si="13"/>
        <v>1</v>
      </c>
      <c r="O44" s="14">
        <f t="shared" si="14"/>
        <v>1</v>
      </c>
      <c r="P44" s="14">
        <f t="shared" si="15"/>
        <v>1</v>
      </c>
    </row>
    <row r="45" spans="1:16" ht="15" customHeight="1" x14ac:dyDescent="0.2">
      <c r="A45" s="14" t="s">
        <v>3069</v>
      </c>
      <c r="B45" s="14" t="s">
        <v>3070</v>
      </c>
      <c r="C45" s="14" t="s">
        <v>2989</v>
      </c>
      <c r="D45" s="14" t="s">
        <v>2990</v>
      </c>
      <c r="E45" s="14" t="s">
        <v>2971</v>
      </c>
      <c r="F45" s="14" t="s">
        <v>2970</v>
      </c>
      <c r="G45" s="14" t="s">
        <v>2970</v>
      </c>
      <c r="H45" s="16">
        <v>45897</v>
      </c>
      <c r="I45" s="14">
        <f t="shared" si="8"/>
        <v>1</v>
      </c>
      <c r="J45" s="14">
        <f t="shared" si="9"/>
        <v>0</v>
      </c>
      <c r="K45" s="14">
        <f t="shared" si="10"/>
        <v>0</v>
      </c>
      <c r="L45" s="14">
        <f t="shared" si="11"/>
        <v>0</v>
      </c>
      <c r="M45" s="14">
        <f t="shared" si="12"/>
        <v>0</v>
      </c>
      <c r="N45" s="14">
        <f t="shared" si="13"/>
        <v>0</v>
      </c>
      <c r="O45" s="14">
        <f t="shared" si="14"/>
        <v>0</v>
      </c>
      <c r="P45" s="14">
        <f t="shared" si="15"/>
        <v>0</v>
      </c>
    </row>
    <row r="46" spans="1:16" ht="15" customHeight="1" x14ac:dyDescent="0.2">
      <c r="A46" s="14" t="s">
        <v>3071</v>
      </c>
      <c r="B46" s="14" t="s">
        <v>3072</v>
      </c>
      <c r="C46" s="14" t="s">
        <v>3016</v>
      </c>
      <c r="D46" s="14" t="s">
        <v>2990</v>
      </c>
      <c r="E46" s="14" t="s">
        <v>2971</v>
      </c>
      <c r="F46" s="14" t="s">
        <v>2970</v>
      </c>
      <c r="G46" s="14" t="s">
        <v>2970</v>
      </c>
      <c r="H46" s="16">
        <v>45026</v>
      </c>
      <c r="I46" s="14">
        <f t="shared" si="8"/>
        <v>1</v>
      </c>
      <c r="J46" s="14">
        <f t="shared" si="9"/>
        <v>0</v>
      </c>
      <c r="K46" s="14">
        <f t="shared" si="10"/>
        <v>0</v>
      </c>
      <c r="L46" s="14">
        <f t="shared" si="11"/>
        <v>0</v>
      </c>
      <c r="M46" s="14">
        <f t="shared" si="12"/>
        <v>0</v>
      </c>
      <c r="N46" s="14">
        <f t="shared" si="13"/>
        <v>0</v>
      </c>
      <c r="O46" s="14">
        <f t="shared" si="14"/>
        <v>0</v>
      </c>
      <c r="P46" s="14">
        <f t="shared" si="15"/>
        <v>0</v>
      </c>
    </row>
    <row r="47" spans="1:16" ht="15" customHeight="1" x14ac:dyDescent="0.2">
      <c r="A47" s="14" t="s">
        <v>3073</v>
      </c>
      <c r="B47" s="14" t="s">
        <v>3074</v>
      </c>
      <c r="C47" s="14" t="s">
        <v>3075</v>
      </c>
      <c r="D47" s="14" t="s">
        <v>2981</v>
      </c>
      <c r="E47" s="14" t="s">
        <v>2970</v>
      </c>
      <c r="F47" s="14" t="s">
        <v>2970</v>
      </c>
      <c r="G47" s="14" t="s">
        <v>2971</v>
      </c>
      <c r="H47" s="16">
        <v>44539</v>
      </c>
      <c r="I47" s="14">
        <f t="shared" si="8"/>
        <v>0</v>
      </c>
      <c r="J47" s="14">
        <f t="shared" si="9"/>
        <v>0</v>
      </c>
      <c r="K47" s="14">
        <f t="shared" si="10"/>
        <v>1</v>
      </c>
      <c r="L47" s="14">
        <f t="shared" si="11"/>
        <v>0</v>
      </c>
      <c r="M47" s="14">
        <f t="shared" si="12"/>
        <v>0</v>
      </c>
      <c r="N47" s="14">
        <f t="shared" si="13"/>
        <v>0</v>
      </c>
      <c r="O47" s="14">
        <f t="shared" si="14"/>
        <v>0</v>
      </c>
      <c r="P47" s="14">
        <f t="shared" si="15"/>
        <v>0</v>
      </c>
    </row>
    <row r="48" spans="1:16" ht="15" customHeight="1" x14ac:dyDescent="0.2">
      <c r="A48" s="14" t="s">
        <v>3076</v>
      </c>
      <c r="B48" s="14" t="s">
        <v>3077</v>
      </c>
      <c r="C48" s="14" t="s">
        <v>3001</v>
      </c>
      <c r="D48" s="14" t="s">
        <v>2969</v>
      </c>
      <c r="E48" s="14" t="s">
        <v>2970</v>
      </c>
      <c r="F48" s="14" t="s">
        <v>2971</v>
      </c>
      <c r="G48" s="14" t="s">
        <v>2970</v>
      </c>
      <c r="H48" s="16">
        <v>44259</v>
      </c>
      <c r="I48" s="14">
        <f t="shared" si="8"/>
        <v>0</v>
      </c>
      <c r="J48" s="14">
        <f t="shared" si="9"/>
        <v>1</v>
      </c>
      <c r="K48" s="14">
        <f t="shared" si="10"/>
        <v>0</v>
      </c>
      <c r="L48" s="14">
        <f t="shared" si="11"/>
        <v>0</v>
      </c>
      <c r="M48" s="14">
        <f t="shared" si="12"/>
        <v>0</v>
      </c>
      <c r="N48" s="14">
        <f t="shared" si="13"/>
        <v>0</v>
      </c>
      <c r="O48" s="14">
        <f t="shared" si="14"/>
        <v>0</v>
      </c>
      <c r="P48" s="14">
        <f t="shared" si="15"/>
        <v>0</v>
      </c>
    </row>
    <row r="49" spans="1:16" ht="15" customHeight="1" x14ac:dyDescent="0.2">
      <c r="A49" s="14" t="s">
        <v>3078</v>
      </c>
      <c r="B49" s="14" t="s">
        <v>3079</v>
      </c>
      <c r="C49" s="14" t="s">
        <v>3016</v>
      </c>
      <c r="D49" s="14" t="s">
        <v>2990</v>
      </c>
      <c r="E49" s="14" t="s">
        <v>2971</v>
      </c>
      <c r="F49" s="14" t="s">
        <v>2970</v>
      </c>
      <c r="G49" s="14" t="s">
        <v>2970</v>
      </c>
      <c r="H49" s="16">
        <v>45246</v>
      </c>
      <c r="I49" s="14">
        <f t="shared" si="8"/>
        <v>1</v>
      </c>
      <c r="J49" s="14">
        <f t="shared" si="9"/>
        <v>0</v>
      </c>
      <c r="K49" s="14">
        <f t="shared" si="10"/>
        <v>0</v>
      </c>
      <c r="L49" s="14">
        <f t="shared" si="11"/>
        <v>0</v>
      </c>
      <c r="M49" s="14">
        <f t="shared" si="12"/>
        <v>0</v>
      </c>
      <c r="N49" s="14">
        <f t="shared" si="13"/>
        <v>0</v>
      </c>
      <c r="O49" s="14">
        <f t="shared" si="14"/>
        <v>0</v>
      </c>
      <c r="P49" s="14">
        <f t="shared" si="15"/>
        <v>0</v>
      </c>
    </row>
    <row r="50" spans="1:16" ht="15" customHeight="1" x14ac:dyDescent="0.2">
      <c r="A50" s="14" t="s">
        <v>3080</v>
      </c>
      <c r="B50" s="14" t="s">
        <v>3081</v>
      </c>
      <c r="C50" s="14" t="s">
        <v>2980</v>
      </c>
      <c r="D50" s="14" t="s">
        <v>2981</v>
      </c>
      <c r="E50" s="14" t="s">
        <v>2970</v>
      </c>
      <c r="F50" s="14" t="s">
        <v>2971</v>
      </c>
      <c r="G50" s="14" t="s">
        <v>2971</v>
      </c>
      <c r="H50" s="16">
        <v>45470</v>
      </c>
      <c r="I50" s="14">
        <f t="shared" si="8"/>
        <v>0</v>
      </c>
      <c r="J50" s="14">
        <f t="shared" si="9"/>
        <v>1</v>
      </c>
      <c r="K50" s="14">
        <f t="shared" si="10"/>
        <v>1</v>
      </c>
      <c r="L50" s="14">
        <f t="shared" si="11"/>
        <v>1</v>
      </c>
      <c r="M50" s="14">
        <f t="shared" si="12"/>
        <v>0</v>
      </c>
      <c r="N50" s="14">
        <f t="shared" si="13"/>
        <v>0</v>
      </c>
      <c r="O50" s="14">
        <f t="shared" si="14"/>
        <v>0</v>
      </c>
      <c r="P50" s="14">
        <f t="shared" si="15"/>
        <v>1</v>
      </c>
    </row>
    <row r="51" spans="1:16" ht="15" customHeight="1" x14ac:dyDescent="0.2">
      <c r="A51" s="14" t="s">
        <v>3082</v>
      </c>
      <c r="B51" s="14" t="s">
        <v>3083</v>
      </c>
      <c r="C51" s="14" t="s">
        <v>2976</v>
      </c>
      <c r="D51" s="14" t="s">
        <v>2977</v>
      </c>
      <c r="E51" s="14" t="s">
        <v>2970</v>
      </c>
      <c r="F51" s="14" t="s">
        <v>2971</v>
      </c>
      <c r="G51" s="14" t="s">
        <v>2971</v>
      </c>
      <c r="H51" s="16">
        <v>45090</v>
      </c>
      <c r="I51" s="14">
        <f t="shared" si="8"/>
        <v>0</v>
      </c>
      <c r="J51" s="14">
        <f t="shared" si="9"/>
        <v>1</v>
      </c>
      <c r="K51" s="14">
        <f t="shared" si="10"/>
        <v>1</v>
      </c>
      <c r="L51" s="14">
        <f t="shared" si="11"/>
        <v>1</v>
      </c>
      <c r="M51" s="14">
        <f t="shared" si="12"/>
        <v>0</v>
      </c>
      <c r="N51" s="14">
        <f t="shared" si="13"/>
        <v>0</v>
      </c>
      <c r="O51" s="14">
        <f t="shared" si="14"/>
        <v>0</v>
      </c>
      <c r="P51" s="14">
        <f t="shared" si="15"/>
        <v>1</v>
      </c>
    </row>
    <row r="52" spans="1:16" ht="15" customHeight="1" x14ac:dyDescent="0.2">
      <c r="A52" s="14" t="s">
        <v>3084</v>
      </c>
      <c r="B52" s="14" t="s">
        <v>3085</v>
      </c>
      <c r="C52" s="14" t="s">
        <v>2976</v>
      </c>
      <c r="D52" s="14" t="s">
        <v>2977</v>
      </c>
      <c r="E52" s="14" t="s">
        <v>2970</v>
      </c>
      <c r="F52" s="14" t="s">
        <v>2971</v>
      </c>
      <c r="G52" s="14" t="s">
        <v>2971</v>
      </c>
      <c r="H52" s="16">
        <v>44581</v>
      </c>
      <c r="I52" s="14">
        <f t="shared" si="8"/>
        <v>0</v>
      </c>
      <c r="J52" s="14">
        <f t="shared" si="9"/>
        <v>1</v>
      </c>
      <c r="K52" s="14">
        <f t="shared" si="10"/>
        <v>1</v>
      </c>
      <c r="L52" s="14">
        <f t="shared" si="11"/>
        <v>1</v>
      </c>
      <c r="M52" s="14">
        <f t="shared" si="12"/>
        <v>0</v>
      </c>
      <c r="N52" s="14">
        <f t="shared" si="13"/>
        <v>0</v>
      </c>
      <c r="O52" s="14">
        <f t="shared" si="14"/>
        <v>0</v>
      </c>
      <c r="P52" s="14">
        <f t="shared" si="15"/>
        <v>1</v>
      </c>
    </row>
    <row r="53" spans="1:16" ht="15" customHeight="1" x14ac:dyDescent="0.2">
      <c r="A53" s="14" t="s">
        <v>3067</v>
      </c>
      <c r="B53" s="14" t="s">
        <v>3068</v>
      </c>
      <c r="C53" s="14" t="s">
        <v>2980</v>
      </c>
      <c r="D53" s="14" t="s">
        <v>2981</v>
      </c>
      <c r="E53" s="14" t="s">
        <v>2970</v>
      </c>
      <c r="F53" s="14" t="s">
        <v>2971</v>
      </c>
      <c r="G53" s="14" t="s">
        <v>2970</v>
      </c>
      <c r="H53" s="16">
        <v>45302</v>
      </c>
      <c r="I53" s="14">
        <f t="shared" si="8"/>
        <v>0</v>
      </c>
      <c r="J53" s="14">
        <f t="shared" si="9"/>
        <v>1</v>
      </c>
      <c r="K53" s="14">
        <f t="shared" si="10"/>
        <v>0</v>
      </c>
      <c r="L53" s="14">
        <f t="shared" si="11"/>
        <v>1</v>
      </c>
      <c r="M53" s="14">
        <f t="shared" si="12"/>
        <v>1</v>
      </c>
      <c r="N53" s="14">
        <f t="shared" si="13"/>
        <v>1</v>
      </c>
      <c r="O53" s="14">
        <f t="shared" si="14"/>
        <v>1</v>
      </c>
      <c r="P53" s="14">
        <f t="shared" si="15"/>
        <v>1</v>
      </c>
    </row>
    <row r="54" spans="1:16" ht="15" customHeight="1" x14ac:dyDescent="0.2">
      <c r="A54" s="14" t="s">
        <v>3086</v>
      </c>
      <c r="B54" s="14" t="s">
        <v>3087</v>
      </c>
      <c r="C54" s="14" t="s">
        <v>2968</v>
      </c>
      <c r="D54" s="14" t="s">
        <v>2969</v>
      </c>
      <c r="E54" s="14" t="s">
        <v>2970</v>
      </c>
      <c r="F54" s="14" t="s">
        <v>2971</v>
      </c>
      <c r="G54" s="14" t="s">
        <v>2970</v>
      </c>
      <c r="H54" s="16">
        <v>44968</v>
      </c>
      <c r="I54" s="14">
        <f t="shared" si="8"/>
        <v>0</v>
      </c>
      <c r="J54" s="14">
        <f t="shared" si="9"/>
        <v>1</v>
      </c>
      <c r="K54" s="14">
        <f t="shared" si="10"/>
        <v>0</v>
      </c>
      <c r="L54" s="14">
        <f t="shared" si="11"/>
        <v>0</v>
      </c>
      <c r="M54" s="14">
        <f t="shared" si="12"/>
        <v>0</v>
      </c>
      <c r="N54" s="14">
        <f t="shared" si="13"/>
        <v>0</v>
      </c>
      <c r="O54" s="14">
        <f t="shared" si="14"/>
        <v>0</v>
      </c>
      <c r="P54" s="14">
        <f t="shared" si="15"/>
        <v>0</v>
      </c>
    </row>
    <row r="55" spans="1:16" ht="15" customHeight="1" x14ac:dyDescent="0.2">
      <c r="A55" s="14" t="s">
        <v>3088</v>
      </c>
      <c r="B55" s="14" t="s">
        <v>3089</v>
      </c>
      <c r="C55" s="14" t="s">
        <v>2993</v>
      </c>
      <c r="D55" s="14" t="s">
        <v>2994</v>
      </c>
      <c r="E55" s="14" t="s">
        <v>2970</v>
      </c>
      <c r="F55" s="14" t="s">
        <v>2970</v>
      </c>
      <c r="G55" s="14" t="s">
        <v>2970</v>
      </c>
      <c r="H55" s="16">
        <v>45525</v>
      </c>
      <c r="I55" s="14">
        <f t="shared" si="8"/>
        <v>0</v>
      </c>
      <c r="J55" s="14">
        <f t="shared" si="9"/>
        <v>0</v>
      </c>
      <c r="K55" s="14">
        <f t="shared" si="10"/>
        <v>0</v>
      </c>
      <c r="L55" s="14">
        <f t="shared" si="11"/>
        <v>0</v>
      </c>
      <c r="M55" s="14">
        <f t="shared" si="12"/>
        <v>0</v>
      </c>
      <c r="N55" s="14">
        <f t="shared" si="13"/>
        <v>0</v>
      </c>
      <c r="O55" s="14">
        <f t="shared" si="14"/>
        <v>0</v>
      </c>
      <c r="P55" s="14">
        <f t="shared" si="15"/>
        <v>0</v>
      </c>
    </row>
    <row r="56" spans="1:16" ht="15" customHeight="1" x14ac:dyDescent="0.2">
      <c r="A56" s="14" t="s">
        <v>3090</v>
      </c>
      <c r="B56" s="14" t="s">
        <v>3091</v>
      </c>
      <c r="C56" s="14" t="s">
        <v>2976</v>
      </c>
      <c r="D56" s="14" t="s">
        <v>2977</v>
      </c>
      <c r="E56" s="14" t="s">
        <v>2970</v>
      </c>
      <c r="F56" s="14" t="s">
        <v>2971</v>
      </c>
      <c r="G56" s="14" t="s">
        <v>2971</v>
      </c>
      <c r="H56" s="16">
        <v>44760</v>
      </c>
      <c r="I56" s="14">
        <f t="shared" si="8"/>
        <v>0</v>
      </c>
      <c r="J56" s="14">
        <f t="shared" si="9"/>
        <v>1</v>
      </c>
      <c r="K56" s="14">
        <f t="shared" si="10"/>
        <v>1</v>
      </c>
      <c r="L56" s="14">
        <f t="shared" si="11"/>
        <v>1</v>
      </c>
      <c r="M56" s="14">
        <f t="shared" si="12"/>
        <v>0</v>
      </c>
      <c r="N56" s="14">
        <f t="shared" si="13"/>
        <v>0</v>
      </c>
      <c r="O56" s="14">
        <f t="shared" si="14"/>
        <v>0</v>
      </c>
      <c r="P56" s="14">
        <f t="shared" si="15"/>
        <v>1</v>
      </c>
    </row>
    <row r="57" spans="1:16" ht="15" customHeight="1" x14ac:dyDescent="0.2">
      <c r="A57" s="14" t="s">
        <v>3067</v>
      </c>
      <c r="B57" s="14" t="s">
        <v>3068</v>
      </c>
      <c r="C57" s="14" t="s">
        <v>2980</v>
      </c>
      <c r="D57" s="14" t="s">
        <v>2981</v>
      </c>
      <c r="E57" s="14" t="s">
        <v>2970</v>
      </c>
      <c r="F57" s="14" t="s">
        <v>2970</v>
      </c>
      <c r="G57" s="14" t="s">
        <v>2971</v>
      </c>
      <c r="H57" s="16">
        <v>45302</v>
      </c>
      <c r="I57" s="14">
        <f t="shared" si="8"/>
        <v>0</v>
      </c>
      <c r="J57" s="14">
        <f t="shared" si="9"/>
        <v>0</v>
      </c>
      <c r="K57" s="14">
        <f t="shared" si="10"/>
        <v>1</v>
      </c>
      <c r="L57" s="14">
        <f t="shared" si="11"/>
        <v>1</v>
      </c>
      <c r="M57" s="14">
        <f t="shared" si="12"/>
        <v>1</v>
      </c>
      <c r="N57" s="14">
        <f t="shared" si="13"/>
        <v>1</v>
      </c>
      <c r="O57" s="14">
        <f t="shared" si="14"/>
        <v>1</v>
      </c>
      <c r="P57" s="14">
        <f t="shared" si="15"/>
        <v>1</v>
      </c>
    </row>
    <row r="58" spans="1:16" ht="15" customHeight="1" x14ac:dyDescent="0.2">
      <c r="A58" s="14" t="s">
        <v>3092</v>
      </c>
      <c r="B58" s="14" t="s">
        <v>3093</v>
      </c>
      <c r="C58" s="14" t="s">
        <v>3001</v>
      </c>
      <c r="D58" s="14" t="s">
        <v>2969</v>
      </c>
      <c r="E58" s="14" t="s">
        <v>2970</v>
      </c>
      <c r="F58" s="14" t="s">
        <v>2971</v>
      </c>
      <c r="G58" s="14" t="s">
        <v>2970</v>
      </c>
      <c r="H58" s="16">
        <v>45832</v>
      </c>
      <c r="I58" s="14">
        <f t="shared" si="8"/>
        <v>0</v>
      </c>
      <c r="J58" s="14">
        <f t="shared" si="9"/>
        <v>1</v>
      </c>
      <c r="K58" s="14">
        <f t="shared" si="10"/>
        <v>0</v>
      </c>
      <c r="L58" s="14">
        <f t="shared" si="11"/>
        <v>0</v>
      </c>
      <c r="M58" s="14">
        <f t="shared" si="12"/>
        <v>0</v>
      </c>
      <c r="N58" s="14">
        <f t="shared" si="13"/>
        <v>0</v>
      </c>
      <c r="O58" s="14">
        <f t="shared" si="14"/>
        <v>0</v>
      </c>
      <c r="P58" s="14">
        <f t="shared" si="15"/>
        <v>0</v>
      </c>
    </row>
    <row r="59" spans="1:16" ht="15" customHeight="1" x14ac:dyDescent="0.2">
      <c r="A59" s="14" t="s">
        <v>3094</v>
      </c>
      <c r="B59" s="14" t="s">
        <v>3095</v>
      </c>
      <c r="C59" s="14" t="s">
        <v>2989</v>
      </c>
      <c r="D59" s="14" t="s">
        <v>2990</v>
      </c>
      <c r="E59" s="14" t="s">
        <v>2971</v>
      </c>
      <c r="F59" s="14" t="s">
        <v>2970</v>
      </c>
      <c r="G59" s="14" t="s">
        <v>2970</v>
      </c>
      <c r="H59" s="16">
        <v>45105</v>
      </c>
      <c r="I59" s="14">
        <f t="shared" si="8"/>
        <v>1</v>
      </c>
      <c r="J59" s="14">
        <f t="shared" si="9"/>
        <v>0</v>
      </c>
      <c r="K59" s="14">
        <f t="shared" si="10"/>
        <v>0</v>
      </c>
      <c r="L59" s="14">
        <f t="shared" si="11"/>
        <v>0</v>
      </c>
      <c r="M59" s="14">
        <f t="shared" si="12"/>
        <v>0</v>
      </c>
      <c r="N59" s="14">
        <f t="shared" si="13"/>
        <v>0</v>
      </c>
      <c r="O59" s="14">
        <f t="shared" si="14"/>
        <v>0</v>
      </c>
      <c r="P59" s="14">
        <f t="shared" si="15"/>
        <v>0</v>
      </c>
    </row>
    <row r="60" spans="1:16" ht="15" customHeight="1" x14ac:dyDescent="0.2">
      <c r="A60" s="14" t="s">
        <v>3096</v>
      </c>
      <c r="B60" s="14" t="s">
        <v>3097</v>
      </c>
      <c r="C60" s="14" t="s">
        <v>2976</v>
      </c>
      <c r="D60" s="14" t="s">
        <v>2977</v>
      </c>
      <c r="E60" s="14" t="s">
        <v>2970</v>
      </c>
      <c r="F60" s="14" t="s">
        <v>2971</v>
      </c>
      <c r="G60" s="14" t="s">
        <v>2971</v>
      </c>
      <c r="H60" s="16">
        <v>45215</v>
      </c>
      <c r="I60" s="14">
        <f t="shared" si="8"/>
        <v>0</v>
      </c>
      <c r="J60" s="14">
        <f t="shared" si="9"/>
        <v>1</v>
      </c>
      <c r="K60" s="14">
        <f t="shared" si="10"/>
        <v>1</v>
      </c>
      <c r="L60" s="14">
        <f t="shared" si="11"/>
        <v>1</v>
      </c>
      <c r="M60" s="14">
        <f t="shared" si="12"/>
        <v>0</v>
      </c>
      <c r="N60" s="14">
        <f t="shared" si="13"/>
        <v>0</v>
      </c>
      <c r="O60" s="14">
        <f t="shared" si="14"/>
        <v>0</v>
      </c>
      <c r="P60" s="14">
        <f t="shared" si="15"/>
        <v>1</v>
      </c>
    </row>
    <row r="61" spans="1:16" ht="15" customHeight="1" x14ac:dyDescent="0.2">
      <c r="A61" s="14" t="s">
        <v>3098</v>
      </c>
      <c r="B61" s="14" t="s">
        <v>3099</v>
      </c>
      <c r="C61" s="14" t="s">
        <v>2993</v>
      </c>
      <c r="D61" s="14" t="s">
        <v>2994</v>
      </c>
      <c r="E61" s="14" t="s">
        <v>2970</v>
      </c>
      <c r="F61" s="14" t="s">
        <v>2970</v>
      </c>
      <c r="G61" s="14" t="s">
        <v>2970</v>
      </c>
      <c r="H61" s="16">
        <v>44338</v>
      </c>
      <c r="I61" s="14">
        <f t="shared" si="8"/>
        <v>0</v>
      </c>
      <c r="J61" s="14">
        <f t="shared" si="9"/>
        <v>0</v>
      </c>
      <c r="K61" s="14">
        <f t="shared" si="10"/>
        <v>0</v>
      </c>
      <c r="L61" s="14">
        <f t="shared" si="11"/>
        <v>0</v>
      </c>
      <c r="M61" s="14">
        <f t="shared" si="12"/>
        <v>0</v>
      </c>
      <c r="N61" s="14">
        <f t="shared" si="13"/>
        <v>0</v>
      </c>
      <c r="O61" s="14">
        <f t="shared" si="14"/>
        <v>0</v>
      </c>
      <c r="P61" s="14">
        <f t="shared" si="15"/>
        <v>0</v>
      </c>
    </row>
    <row r="63" spans="1:16" ht="15" customHeight="1" x14ac:dyDescent="0.2">
      <c r="B63" s="7" t="s">
        <v>3100</v>
      </c>
    </row>
    <row r="64" spans="1:16" ht="15" customHeight="1" x14ac:dyDescent="0.2">
      <c r="B64" s="8" t="s">
        <v>3101</v>
      </c>
      <c r="E64" s="11">
        <f>SUMPRODUCT(1/COUNTIF($A$2:$A$61,$A$2:$A$61))</f>
        <v>58.000000000000007</v>
      </c>
    </row>
    <row r="65" spans="2:5" ht="15" customHeight="1" x14ac:dyDescent="0.2">
      <c r="B65" s="8" t="s">
        <v>3102</v>
      </c>
      <c r="E65" s="11">
        <f>SUMPRODUCT(($L$2:$L$61=1)/COUNTIF($A$2:$A$61,$A$2:$A$61))</f>
        <v>19</v>
      </c>
    </row>
    <row r="66" spans="2:5" ht="15" customHeight="1" x14ac:dyDescent="0.2">
      <c r="B66" s="8" t="s">
        <v>3103</v>
      </c>
      <c r="E66" s="11">
        <f>SUMPRODUCT(($M$2:$M$61=1)/COUNTIF($A$2:$A$61,$A$2:$A$61))</f>
        <v>1.9999999999999998</v>
      </c>
    </row>
    <row r="67" spans="2:5" ht="15" customHeight="1" x14ac:dyDescent="0.2">
      <c r="B67" s="8" t="s">
        <v>3104</v>
      </c>
      <c r="E67" s="11">
        <f>SUMPRODUCT(($N$2:$N$61=1)/COUNTIF($A$2:$A$61,$A$2:$A$61))</f>
        <v>1</v>
      </c>
    </row>
    <row r="68" spans="2:5" ht="15" customHeight="1" x14ac:dyDescent="0.2">
      <c r="B68" s="8" t="s">
        <v>18</v>
      </c>
      <c r="E68" s="11">
        <f>SUMPRODUCT(($P$2:$P$61=1)/COUNTIF($A$2:$A$61,$A$2:$A$61))</f>
        <v>20</v>
      </c>
    </row>
    <row r="69" spans="2:5" ht="15" customHeight="1" x14ac:dyDescent="0.2">
      <c r="B69" s="8" t="s">
        <v>3105</v>
      </c>
      <c r="E69" s="11">
        <f>SUMPRODUCT(--($O$2:$O$61=1))</f>
        <v>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A2" sqref="A2:XFD2"/>
    </sheetView>
  </sheetViews>
  <sheetFormatPr baseColWidth="10" defaultColWidth="8.6640625" defaultRowHeight="15" x14ac:dyDescent="0.2"/>
  <cols>
    <col min="1" max="1" width="4" customWidth="1"/>
    <col min="2" max="2" width="18" customWidth="1"/>
    <col min="3" max="3" width="42" customWidth="1"/>
    <col min="4" max="4" width="46" customWidth="1"/>
    <col min="5" max="5" width="26" customWidth="1"/>
  </cols>
  <sheetData>
    <row r="2" spans="1:5" s="28" customFormat="1" ht="15" customHeight="1" x14ac:dyDescent="0.2">
      <c r="A2" s="29" t="s">
        <v>3106</v>
      </c>
      <c r="B2" s="29" t="s">
        <v>3107</v>
      </c>
      <c r="C2" s="29" t="s">
        <v>3108</v>
      </c>
      <c r="D2" s="29" t="s">
        <v>3109</v>
      </c>
      <c r="E2" s="29" t="s">
        <v>3110</v>
      </c>
    </row>
    <row r="3" spans="1:5" ht="15" customHeight="1" x14ac:dyDescent="0.2">
      <c r="A3" s="12">
        <v>1</v>
      </c>
      <c r="B3" s="12" t="s">
        <v>3111</v>
      </c>
      <c r="C3" s="12" t="s">
        <v>3112</v>
      </c>
      <c r="D3" s="12" t="s">
        <v>3113</v>
      </c>
      <c r="E3" s="12" t="s">
        <v>3114</v>
      </c>
    </row>
    <row r="4" spans="1:5" ht="15" customHeight="1" x14ac:dyDescent="0.2">
      <c r="A4" s="12">
        <v>2</v>
      </c>
      <c r="B4" s="12" t="s">
        <v>3115</v>
      </c>
      <c r="C4" s="12" t="s">
        <v>3116</v>
      </c>
      <c r="D4" s="12" t="s">
        <v>3117</v>
      </c>
      <c r="E4" s="12" t="s">
        <v>3118</v>
      </c>
    </row>
    <row r="5" spans="1:5" ht="15" customHeight="1" x14ac:dyDescent="0.2">
      <c r="A5" s="12">
        <v>3</v>
      </c>
      <c r="B5" s="12" t="s">
        <v>3115</v>
      </c>
      <c r="C5" s="12" t="s">
        <v>3119</v>
      </c>
      <c r="D5" s="12" t="s">
        <v>3120</v>
      </c>
      <c r="E5" s="12" t="s">
        <v>3121</v>
      </c>
    </row>
    <row r="6" spans="1:5" ht="15" customHeight="1" x14ac:dyDescent="0.2">
      <c r="A6" s="12">
        <v>4</v>
      </c>
      <c r="B6" s="12" t="s">
        <v>3111</v>
      </c>
      <c r="C6" s="12" t="s">
        <v>3122</v>
      </c>
      <c r="D6" s="12" t="s">
        <v>3123</v>
      </c>
      <c r="E6" s="12" t="s">
        <v>3124</v>
      </c>
    </row>
    <row r="7" spans="1:5" ht="15" customHeight="1" x14ac:dyDescent="0.2">
      <c r="A7" s="12">
        <v>5</v>
      </c>
      <c r="B7" s="12" t="s">
        <v>3111</v>
      </c>
      <c r="C7" s="12" t="s">
        <v>3125</v>
      </c>
      <c r="D7" s="12" t="s">
        <v>3126</v>
      </c>
      <c r="E7" s="12" t="s">
        <v>3127</v>
      </c>
    </row>
    <row r="8" spans="1:5" ht="23.25" customHeight="1" x14ac:dyDescent="0.2">
      <c r="A8" s="12">
        <v>6</v>
      </c>
      <c r="B8" s="12" t="s">
        <v>3128</v>
      </c>
      <c r="C8" s="12" t="s">
        <v>3129</v>
      </c>
      <c r="D8" s="12" t="s">
        <v>3130</v>
      </c>
      <c r="E8" s="12" t="s">
        <v>3131</v>
      </c>
    </row>
    <row r="9" spans="1:5" ht="15" customHeight="1" x14ac:dyDescent="0.2">
      <c r="A9" s="12">
        <v>7</v>
      </c>
      <c r="B9" s="12" t="s">
        <v>3128</v>
      </c>
      <c r="C9" s="12" t="s">
        <v>3132</v>
      </c>
      <c r="D9" s="12" t="s">
        <v>3133</v>
      </c>
      <c r="E9" s="12" t="s">
        <v>3134</v>
      </c>
    </row>
    <row r="10" spans="1:5" ht="15" customHeight="1" x14ac:dyDescent="0.2">
      <c r="A10" s="12">
        <v>8</v>
      </c>
      <c r="B10" s="12" t="s">
        <v>3128</v>
      </c>
      <c r="C10" s="12" t="s">
        <v>3135</v>
      </c>
      <c r="D10" s="12" t="s">
        <v>3136</v>
      </c>
      <c r="E10" s="12" t="s">
        <v>3137</v>
      </c>
    </row>
    <row r="11" spans="1:5" ht="15" customHeight="1" x14ac:dyDescent="0.2">
      <c r="A11" s="12">
        <v>9</v>
      </c>
      <c r="B11" s="12" t="s">
        <v>3128</v>
      </c>
      <c r="C11" s="12" t="s">
        <v>3138</v>
      </c>
      <c r="D11" s="12" t="s">
        <v>3139</v>
      </c>
      <c r="E11" s="12" t="s">
        <v>3140</v>
      </c>
    </row>
    <row r="12" spans="1:5" ht="15" customHeight="1" x14ac:dyDescent="0.2">
      <c r="A12" s="12">
        <v>10</v>
      </c>
      <c r="B12" s="12" t="s">
        <v>3128</v>
      </c>
      <c r="C12" s="12" t="s">
        <v>3141</v>
      </c>
      <c r="D12" s="12" t="s">
        <v>3142</v>
      </c>
      <c r="E12" s="12" t="s">
        <v>3143</v>
      </c>
    </row>
    <row r="13" spans="1:5" ht="23.25" customHeight="1" x14ac:dyDescent="0.2">
      <c r="A13" s="12">
        <v>11</v>
      </c>
      <c r="B13" s="12" t="s">
        <v>3128</v>
      </c>
      <c r="C13" s="12" t="s">
        <v>3144</v>
      </c>
      <c r="D13" s="12" t="s">
        <v>3145</v>
      </c>
      <c r="E13" s="12" t="s">
        <v>3146</v>
      </c>
    </row>
    <row r="14" spans="1:5" ht="15" customHeight="1" x14ac:dyDescent="0.2">
      <c r="A14" s="12">
        <v>12</v>
      </c>
      <c r="B14" s="12" t="s">
        <v>3128</v>
      </c>
      <c r="C14" s="12" t="s">
        <v>3147</v>
      </c>
      <c r="D14" s="12" t="s">
        <v>3148</v>
      </c>
      <c r="E14" s="12" t="s">
        <v>3149</v>
      </c>
    </row>
    <row r="15" spans="1:5" ht="23.25" customHeight="1" x14ac:dyDescent="0.2">
      <c r="A15" s="12">
        <v>13</v>
      </c>
      <c r="B15" s="12" t="s">
        <v>3150</v>
      </c>
      <c r="C15" s="12" t="s">
        <v>3151</v>
      </c>
      <c r="D15" s="12" t="s">
        <v>3152</v>
      </c>
      <c r="E15" s="12" t="s">
        <v>3153</v>
      </c>
    </row>
    <row r="16" spans="1:5" ht="23.25" customHeight="1" x14ac:dyDescent="0.2">
      <c r="A16" s="12">
        <v>14</v>
      </c>
      <c r="B16" s="12" t="s">
        <v>3150</v>
      </c>
      <c r="C16" s="12" t="s">
        <v>3154</v>
      </c>
      <c r="D16" s="12" t="s">
        <v>3155</v>
      </c>
      <c r="E16" s="12" t="s">
        <v>3156</v>
      </c>
    </row>
    <row r="17" spans="1:5" ht="15" customHeight="1" x14ac:dyDescent="0.2">
      <c r="A17" s="1">
        <v>15</v>
      </c>
      <c r="B17" s="1" t="s">
        <v>3157</v>
      </c>
      <c r="C17" s="1" t="s">
        <v>3158</v>
      </c>
      <c r="D17" s="1" t="s">
        <v>3159</v>
      </c>
      <c r="E17" s="1" t="s">
        <v>3160</v>
      </c>
    </row>
    <row r="18" spans="1:5" ht="15" customHeight="1" x14ac:dyDescent="0.2">
      <c r="A18" s="1">
        <v>16</v>
      </c>
      <c r="B18" s="1" t="s">
        <v>3161</v>
      </c>
      <c r="C18" s="1" t="s">
        <v>3162</v>
      </c>
      <c r="D18" s="1" t="s">
        <v>3163</v>
      </c>
      <c r="E18" s="1" t="s">
        <v>3164</v>
      </c>
    </row>
    <row r="19" spans="1:5" ht="15" customHeight="1" x14ac:dyDescent="0.2">
      <c r="A19" s="1">
        <v>17</v>
      </c>
      <c r="B19" s="1" t="s">
        <v>3165</v>
      </c>
      <c r="C19" s="1" t="s">
        <v>3166</v>
      </c>
      <c r="D19" s="1" t="s">
        <v>3167</v>
      </c>
      <c r="E19" s="1" t="s">
        <v>3168</v>
      </c>
    </row>
    <row r="20" spans="1:5" ht="15" customHeight="1" x14ac:dyDescent="0.2">
      <c r="A20" s="1">
        <v>18</v>
      </c>
      <c r="B20" s="1" t="s">
        <v>3169</v>
      </c>
      <c r="C20" s="1" t="s">
        <v>3170</v>
      </c>
      <c r="D20" s="1" t="s">
        <v>3171</v>
      </c>
      <c r="E20" s="1" t="s">
        <v>3172</v>
      </c>
    </row>
    <row r="21" spans="1:5" ht="15" customHeight="1" x14ac:dyDescent="0.2">
      <c r="A21" s="1">
        <v>19</v>
      </c>
      <c r="B21" s="1" t="s">
        <v>3173</v>
      </c>
      <c r="C21" s="1" t="s">
        <v>3174</v>
      </c>
      <c r="D21" s="1" t="s">
        <v>3175</v>
      </c>
      <c r="E21" s="1" t="s">
        <v>3176</v>
      </c>
    </row>
    <row r="22" spans="1:5" x14ac:dyDescent="0.2">
      <c r="A22" s="1">
        <v>20</v>
      </c>
      <c r="B22" s="1" t="s">
        <v>3169</v>
      </c>
      <c r="C22" s="1" t="s">
        <v>3177</v>
      </c>
      <c r="D22" s="1" t="s">
        <v>3178</v>
      </c>
      <c r="E22" s="1" t="s">
        <v>3179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5"/>
  <sheetViews>
    <sheetView tabSelected="1" zoomScaleNormal="100" workbookViewId="0">
      <selection activeCell="A4" sqref="A4"/>
    </sheetView>
  </sheetViews>
  <sheetFormatPr baseColWidth="10" defaultColWidth="8.6640625" defaultRowHeight="15" x14ac:dyDescent="0.2"/>
  <cols>
    <col min="1" max="1" width="13" customWidth="1"/>
    <col min="2" max="2" width="18" customWidth="1"/>
    <col min="3" max="3" width="14" customWidth="1"/>
    <col min="4" max="4" width="10" customWidth="1"/>
    <col min="5" max="5" width="14" customWidth="1"/>
    <col min="6" max="6" width="26" customWidth="1"/>
    <col min="7" max="7" width="14" customWidth="1"/>
    <col min="8" max="8" width="42" customWidth="1"/>
  </cols>
  <sheetData>
    <row r="1" spans="1:6" x14ac:dyDescent="0.2">
      <c r="A1" s="4" t="s">
        <v>3180</v>
      </c>
    </row>
    <row r="3" spans="1:6" x14ac:dyDescent="0.2">
      <c r="A3" s="4" t="s">
        <v>3225</v>
      </c>
    </row>
    <row r="4" spans="1:6" x14ac:dyDescent="0.2">
      <c r="A4" s="4" t="s">
        <v>3181</v>
      </c>
      <c r="B4" s="4" t="s">
        <v>3182</v>
      </c>
      <c r="C4" s="4" t="s">
        <v>3183</v>
      </c>
      <c r="D4" s="4" t="s">
        <v>3184</v>
      </c>
      <c r="E4" s="4" t="s">
        <v>1969</v>
      </c>
      <c r="F4" s="4" t="s">
        <v>3185</v>
      </c>
    </row>
    <row r="5" spans="1:6" x14ac:dyDescent="0.2">
      <c r="A5" s="1" t="s">
        <v>237</v>
      </c>
      <c r="B5" s="1" t="s">
        <v>238</v>
      </c>
      <c r="C5" s="1" t="s">
        <v>240</v>
      </c>
      <c r="D5" s="1">
        <v>1394</v>
      </c>
      <c r="E5" s="3">
        <v>170.78</v>
      </c>
      <c r="F5" s="3">
        <f t="shared" ref="F5:F17" si="0">D5*E5</f>
        <v>238067.32</v>
      </c>
    </row>
    <row r="6" spans="1:6" x14ac:dyDescent="0.2">
      <c r="A6" s="1" t="s">
        <v>496</v>
      </c>
      <c r="B6" s="1" t="s">
        <v>495</v>
      </c>
      <c r="C6" s="1" t="s">
        <v>204</v>
      </c>
      <c r="D6" s="1">
        <v>506</v>
      </c>
      <c r="E6" s="3">
        <v>144.01</v>
      </c>
      <c r="F6" s="3">
        <f t="shared" si="0"/>
        <v>72869.06</v>
      </c>
    </row>
    <row r="7" spans="1:6" x14ac:dyDescent="0.2">
      <c r="A7" s="1" t="s">
        <v>547</v>
      </c>
      <c r="B7" s="1" t="s">
        <v>548</v>
      </c>
      <c r="C7" s="1" t="s">
        <v>101</v>
      </c>
      <c r="D7" s="1">
        <v>640</v>
      </c>
      <c r="E7" s="3">
        <v>303.72000000000003</v>
      </c>
      <c r="F7" s="3">
        <f t="shared" si="0"/>
        <v>194380.80000000002</v>
      </c>
    </row>
    <row r="8" spans="1:6" x14ac:dyDescent="0.2">
      <c r="A8" s="1" t="s">
        <v>581</v>
      </c>
      <c r="B8" s="1" t="s">
        <v>582</v>
      </c>
      <c r="C8" s="1" t="s">
        <v>101</v>
      </c>
      <c r="D8" s="1">
        <v>1581</v>
      </c>
      <c r="E8" s="3">
        <v>303.72000000000003</v>
      </c>
      <c r="F8" s="3">
        <f t="shared" si="0"/>
        <v>480181.32000000007</v>
      </c>
    </row>
    <row r="9" spans="1:6" x14ac:dyDescent="0.2">
      <c r="A9" s="1" t="s">
        <v>703</v>
      </c>
      <c r="B9" s="1" t="s">
        <v>704</v>
      </c>
      <c r="C9" s="1" t="s">
        <v>101</v>
      </c>
      <c r="D9" s="1">
        <v>570</v>
      </c>
      <c r="E9" s="3">
        <v>303.72000000000003</v>
      </c>
      <c r="F9" s="3">
        <f t="shared" si="0"/>
        <v>173120.40000000002</v>
      </c>
    </row>
    <row r="10" spans="1:6" x14ac:dyDescent="0.2">
      <c r="A10" s="1" t="s">
        <v>818</v>
      </c>
      <c r="B10" s="1" t="s">
        <v>819</v>
      </c>
      <c r="C10" s="1" t="s">
        <v>821</v>
      </c>
      <c r="D10" s="1">
        <v>394</v>
      </c>
      <c r="E10" s="3">
        <v>238.7</v>
      </c>
      <c r="F10" s="3">
        <f t="shared" si="0"/>
        <v>94047.799999999988</v>
      </c>
    </row>
    <row r="11" spans="1:6" x14ac:dyDescent="0.2">
      <c r="A11" s="1" t="s">
        <v>839</v>
      </c>
      <c r="B11" s="1" t="s">
        <v>840</v>
      </c>
      <c r="C11" s="1" t="s">
        <v>78</v>
      </c>
      <c r="D11" s="1">
        <v>968</v>
      </c>
      <c r="E11" s="3">
        <v>68.900000000000006</v>
      </c>
      <c r="F11" s="3">
        <f t="shared" si="0"/>
        <v>66695.200000000012</v>
      </c>
    </row>
    <row r="12" spans="1:6" x14ac:dyDescent="0.2">
      <c r="A12" s="1" t="s">
        <v>885</v>
      </c>
      <c r="B12" s="1" t="s">
        <v>886</v>
      </c>
      <c r="C12" s="1" t="s">
        <v>101</v>
      </c>
      <c r="D12" s="1">
        <v>1415</v>
      </c>
      <c r="E12" s="3">
        <v>303.72000000000003</v>
      </c>
      <c r="F12" s="3">
        <f t="shared" si="0"/>
        <v>429763.80000000005</v>
      </c>
    </row>
    <row r="13" spans="1:6" x14ac:dyDescent="0.2">
      <c r="A13" s="1" t="s">
        <v>887</v>
      </c>
      <c r="B13" s="1" t="s">
        <v>888</v>
      </c>
      <c r="C13" s="1" t="s">
        <v>113</v>
      </c>
      <c r="D13" s="1">
        <v>1355</v>
      </c>
      <c r="E13" s="3">
        <v>153.69</v>
      </c>
      <c r="F13" s="3">
        <f t="shared" si="0"/>
        <v>208249.94999999998</v>
      </c>
    </row>
    <row r="14" spans="1:6" x14ac:dyDescent="0.2">
      <c r="A14" s="1" t="s">
        <v>998</v>
      </c>
      <c r="B14" s="1" t="s">
        <v>999</v>
      </c>
      <c r="C14" s="1" t="s">
        <v>411</v>
      </c>
      <c r="D14" s="1">
        <v>1059</v>
      </c>
      <c r="E14" s="3">
        <v>256.47000000000003</v>
      </c>
      <c r="F14" s="3">
        <f t="shared" si="0"/>
        <v>271601.73000000004</v>
      </c>
    </row>
    <row r="15" spans="1:6" x14ac:dyDescent="0.2">
      <c r="A15" s="1" t="s">
        <v>1398</v>
      </c>
      <c r="B15" s="1" t="s">
        <v>1399</v>
      </c>
      <c r="C15" s="1" t="s">
        <v>208</v>
      </c>
      <c r="D15" s="1">
        <v>1758</v>
      </c>
      <c r="E15" s="3">
        <v>36.340000000000003</v>
      </c>
      <c r="F15" s="3">
        <f t="shared" si="0"/>
        <v>63885.720000000008</v>
      </c>
    </row>
    <row r="16" spans="1:6" x14ac:dyDescent="0.2">
      <c r="A16" s="1" t="s">
        <v>1400</v>
      </c>
      <c r="B16" s="1" t="s">
        <v>1401</v>
      </c>
      <c r="C16" s="1" t="s">
        <v>211</v>
      </c>
      <c r="D16" s="1">
        <v>335</v>
      </c>
      <c r="E16" s="3">
        <v>417.12</v>
      </c>
      <c r="F16" s="3">
        <f t="shared" si="0"/>
        <v>139735.20000000001</v>
      </c>
    </row>
    <row r="17" spans="1:8" x14ac:dyDescent="0.2">
      <c r="A17" s="1" t="s">
        <v>264</v>
      </c>
      <c r="B17" s="1" t="s">
        <v>265</v>
      </c>
      <c r="C17" s="1" t="s">
        <v>74</v>
      </c>
      <c r="D17" s="1">
        <v>870</v>
      </c>
      <c r="E17" s="3">
        <v>33.1</v>
      </c>
      <c r="F17" s="3">
        <f t="shared" si="0"/>
        <v>28797</v>
      </c>
    </row>
    <row r="18" spans="1:8" x14ac:dyDescent="0.2">
      <c r="C18" s="4" t="s">
        <v>3186</v>
      </c>
      <c r="F18" s="5">
        <f>SUM(F5:F17)</f>
        <v>2461395.3000000007</v>
      </c>
    </row>
    <row r="20" spans="1:8" x14ac:dyDescent="0.2">
      <c r="A20" s="4" t="s">
        <v>3223</v>
      </c>
    </row>
    <row r="21" spans="1:8" x14ac:dyDescent="0.2">
      <c r="A21" s="4" t="s">
        <v>3183</v>
      </c>
      <c r="B21" s="4" t="s">
        <v>3181</v>
      </c>
      <c r="C21" s="4" t="s">
        <v>3187</v>
      </c>
      <c r="D21" s="4" t="s">
        <v>3184</v>
      </c>
      <c r="E21" s="4" t="s">
        <v>1969</v>
      </c>
      <c r="F21" s="4" t="s">
        <v>3188</v>
      </c>
    </row>
    <row r="22" spans="1:8" x14ac:dyDescent="0.2">
      <c r="A22" s="1" t="s">
        <v>1366</v>
      </c>
      <c r="B22" s="1" t="s">
        <v>1363</v>
      </c>
      <c r="C22" s="1" t="s">
        <v>3189</v>
      </c>
      <c r="D22" s="1">
        <v>1058</v>
      </c>
      <c r="E22" s="3">
        <v>119.46</v>
      </c>
      <c r="F22" s="3">
        <f>D22*E22</f>
        <v>126388.68</v>
      </c>
    </row>
    <row r="23" spans="1:8" x14ac:dyDescent="0.2">
      <c r="A23" s="1" t="s">
        <v>1324</v>
      </c>
      <c r="B23" s="1" t="s">
        <v>1321</v>
      </c>
      <c r="C23" s="1" t="s">
        <v>3190</v>
      </c>
      <c r="D23" s="1">
        <v>2179</v>
      </c>
      <c r="E23" s="3">
        <v>274.97000000000003</v>
      </c>
      <c r="F23" s="3">
        <f>D23*E23</f>
        <v>599159.63</v>
      </c>
    </row>
    <row r="24" spans="1:8" x14ac:dyDescent="0.2">
      <c r="A24" s="1" t="s">
        <v>1423</v>
      </c>
      <c r="B24" s="1" t="s">
        <v>1420</v>
      </c>
      <c r="C24" s="1" t="s">
        <v>3191</v>
      </c>
      <c r="D24" s="1">
        <v>304</v>
      </c>
      <c r="E24" s="3">
        <v>138.25</v>
      </c>
      <c r="F24" s="3">
        <f>D24*E24</f>
        <v>42028</v>
      </c>
    </row>
    <row r="25" spans="1:8" x14ac:dyDescent="0.2">
      <c r="A25" s="4" t="s">
        <v>3192</v>
      </c>
      <c r="F25" s="5">
        <f>SUM(F22:F24)</f>
        <v>767576.31</v>
      </c>
    </row>
    <row r="27" spans="1:8" x14ac:dyDescent="0.2">
      <c r="A27" s="4" t="s">
        <v>3224</v>
      </c>
    </row>
    <row r="28" spans="1:8" x14ac:dyDescent="0.2">
      <c r="A28" s="4" t="s">
        <v>3183</v>
      </c>
      <c r="B28" s="4" t="s">
        <v>3193</v>
      </c>
      <c r="C28" s="4" t="s">
        <v>3184</v>
      </c>
      <c r="D28" s="4" t="s">
        <v>1969</v>
      </c>
      <c r="E28" s="4" t="s">
        <v>3194</v>
      </c>
      <c r="F28" s="4" t="s">
        <v>3195</v>
      </c>
      <c r="G28" s="4" t="s">
        <v>3196</v>
      </c>
      <c r="H28" s="4" t="s">
        <v>3197</v>
      </c>
    </row>
    <row r="29" spans="1:8" x14ac:dyDescent="0.2">
      <c r="A29" s="1" t="s">
        <v>3198</v>
      </c>
      <c r="B29" s="1" t="s">
        <v>2043</v>
      </c>
      <c r="C29" s="1">
        <v>8400</v>
      </c>
      <c r="D29" s="3">
        <v>42</v>
      </c>
      <c r="E29" s="3">
        <f>C29*D29</f>
        <v>352800</v>
      </c>
      <c r="F29" s="13">
        <v>0</v>
      </c>
      <c r="G29" s="3">
        <f>E29*(1-F29)</f>
        <v>352800</v>
      </c>
      <c r="H29" s="1" t="s">
        <v>3199</v>
      </c>
    </row>
    <row r="30" spans="1:8" x14ac:dyDescent="0.2">
      <c r="A30" s="1" t="s">
        <v>3200</v>
      </c>
      <c r="B30" s="1" t="s">
        <v>2076</v>
      </c>
      <c r="C30" s="1">
        <v>1200</v>
      </c>
      <c r="D30" s="3">
        <v>610</v>
      </c>
      <c r="E30" s="3">
        <f>C30*D30</f>
        <v>732000</v>
      </c>
      <c r="F30" s="13">
        <v>0</v>
      </c>
      <c r="G30" s="3">
        <f>E30*(1-F30)</f>
        <v>732000</v>
      </c>
      <c r="H30" s="1" t="s">
        <v>3201</v>
      </c>
    </row>
    <row r="31" spans="1:8" x14ac:dyDescent="0.2">
      <c r="A31" s="1" t="s">
        <v>3202</v>
      </c>
      <c r="B31" s="1" t="s">
        <v>2010</v>
      </c>
      <c r="C31" s="1">
        <v>5500</v>
      </c>
      <c r="D31" s="3">
        <v>58</v>
      </c>
      <c r="E31" s="3">
        <f>C31*D31</f>
        <v>319000</v>
      </c>
      <c r="F31" s="13">
        <v>0</v>
      </c>
      <c r="G31" s="3">
        <f>E31*(1-F31)</f>
        <v>319000</v>
      </c>
      <c r="H31" s="1" t="s">
        <v>3203</v>
      </c>
    </row>
    <row r="32" spans="1:8" x14ac:dyDescent="0.2">
      <c r="A32" s="1" t="s">
        <v>3204</v>
      </c>
      <c r="B32" s="1" t="s">
        <v>2027</v>
      </c>
      <c r="C32" s="1">
        <v>22000</v>
      </c>
      <c r="D32" s="3">
        <v>4.4000000000000004</v>
      </c>
      <c r="E32" s="3">
        <f>C32*D32</f>
        <v>96800.000000000015</v>
      </c>
      <c r="F32" s="13">
        <v>0.5</v>
      </c>
      <c r="G32" s="3">
        <f>E32*(1-F32)</f>
        <v>48400.000000000007</v>
      </c>
      <c r="H32" s="1" t="s">
        <v>3205</v>
      </c>
    </row>
    <row r="33" spans="1:7" x14ac:dyDescent="0.2">
      <c r="B33" s="4" t="s">
        <v>3206</v>
      </c>
      <c r="G33" s="5">
        <f>SUM(G29:G32)</f>
        <v>1452200</v>
      </c>
    </row>
    <row r="35" spans="1:7" x14ac:dyDescent="0.2">
      <c r="A35" s="30" t="s">
        <v>3222</v>
      </c>
    </row>
  </sheetData>
  <pageMargins left="0.75" right="0.75" top="1" bottom="1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Assumptions</vt:lpstr>
      <vt:lpstr>Revenue</vt:lpstr>
      <vt:lpstr>Orders</vt:lpstr>
      <vt:lpstr>Inventory</vt:lpstr>
      <vt:lpstr>Controls</vt:lpstr>
      <vt:lpstr>Traps</vt:lpstr>
      <vt:lpstr>Addbacks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Kartik Dalal</cp:lastModifiedBy>
  <cp:revision>0</cp:revision>
  <dcterms:created xsi:type="dcterms:W3CDTF">2026-06-04T18:30:52Z</dcterms:created>
  <dcterms:modified xsi:type="dcterms:W3CDTF">2026-06-06T17:26:45Z</dcterms:modified>
  <dc:language>en-US</dc:language>
</cp:coreProperties>
</file>