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kartikdalal/Desktop/task-amzn-proposal-gdpval-2/Output/"/>
    </mc:Choice>
  </mc:AlternateContent>
  <xr:revisionPtr revIDLastSave="0" documentId="13_ncr:1_{7079C6A1-3214-0B4E-8292-D0ED8ED7D886}" xr6:coauthVersionLast="47" xr6:coauthVersionMax="47" xr10:uidLastSave="{00000000-0000-0000-0000-000000000000}"/>
  <bookViews>
    <workbookView xWindow="0" yWindow="500" windowWidth="28800" windowHeight="15940" tabRatio="500" xr2:uid="{00000000-000D-0000-FFFF-FFFF00000000}"/>
  </bookViews>
  <sheets>
    <sheet name="Question 3 Gain Model" sheetId="1" r:id="rId1"/>
    <sheet name="May Prices" sheetId="2" r:id="rId2"/>
    <sheet name="Assumptions" sheetId="3" r:id="rId3"/>
    <sheet name="EPS Bridg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4" l="1"/>
  <c r="B25" i="4"/>
  <c r="B21" i="4"/>
  <c r="C18" i="4"/>
  <c r="C22" i="4" s="1"/>
  <c r="B18" i="4"/>
  <c r="B22" i="4" s="1"/>
  <c r="B23" i="4" s="1"/>
  <c r="B24" i="4" s="1"/>
  <c r="B26" i="4" s="1"/>
  <c r="B11" i="1" s="1"/>
  <c r="B12" i="1" s="1"/>
  <c r="B14" i="1" s="1"/>
  <c r="H24" i="2"/>
  <c r="G24" i="2"/>
  <c r="F24" i="2"/>
  <c r="E24" i="2"/>
  <c r="B9" i="1" s="1"/>
  <c r="D24" i="2"/>
  <c r="C24" i="2"/>
  <c r="B24" i="2"/>
  <c r="C13" i="1"/>
  <c r="B13" i="1"/>
  <c r="C9" i="1"/>
  <c r="C7" i="1"/>
  <c r="B7" i="1"/>
  <c r="C6" i="1"/>
  <c r="C8" i="1" s="1"/>
  <c r="B6" i="1"/>
  <c r="B8" i="1" s="1"/>
  <c r="B15" i="1" l="1"/>
  <c r="B16" i="1"/>
  <c r="B17" i="1"/>
  <c r="B10" i="1"/>
  <c r="B18" i="1" s="1"/>
  <c r="C10" i="1"/>
  <c r="C21" i="4"/>
  <c r="C23" i="4" s="1"/>
  <c r="C24" i="4" s="1"/>
  <c r="C26" i="4" s="1"/>
  <c r="C11" i="1" s="1"/>
  <c r="C12" i="1" s="1"/>
  <c r="C14" i="1" s="1"/>
  <c r="C16" i="1" l="1"/>
  <c r="C15" i="1"/>
  <c r="C17" i="1" s="1"/>
  <c r="C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3" authorId="0" shapeId="0" xr:uid="{00000000-0006-0000-0200-000001000000}">
      <text>
        <r>
          <rPr>
            <sz val="10"/>
            <color rgb="FF000000"/>
            <rFont val="Arial"/>
            <family val="2"/>
          </rPr>
          <t>Source: Goldman Sachs, Top of Mind Issue 143 - median forward P/E across the Magnificent 7 = 25x (24.5x ex-Tesla), consensus forecasts. Use 24.5 to exclude Tesla.</t>
        </r>
      </text>
    </comment>
    <comment ref="B4" authorId="0" shapeId="0" xr:uid="{00000000-0006-0000-0200-000002000000}">
      <text>
        <r>
          <rPr>
            <sz val="10"/>
            <color rgb="FF000000"/>
            <rFont val="Arial"/>
            <family val="2"/>
          </rPr>
          <t>Thesis: annual EPS = 4 x quarterly EPS.</t>
        </r>
      </text>
    </comment>
    <comment ref="B5" authorId="0" shapeId="0" xr:uid="{00000000-0006-0000-0200-000003000000}">
      <text>
        <r>
          <rPr>
            <sz val="10"/>
            <color rgb="FF000000"/>
            <rFont val="Arial"/>
            <family val="2"/>
          </rPr>
          <t>Thesis: baseline QoQ Mega-Investment Exclusion EPS growth = 5% for all forward-looking modelling.</t>
        </r>
      </text>
    </comment>
    <comment ref="B8" authorId="0" shapeId="0" xr:uid="{00000000-0006-0000-0200-000004000000}">
      <text>
        <r>
          <rPr>
            <sz val="10"/>
            <rFont val="Arial"/>
            <family val="2"/>
          </rPr>
          <t>Source: Q1-2026 reporting, ~10.75bn shares.</t>
        </r>
      </text>
    </comment>
    <comment ref="B9" authorId="0" shapeId="0" xr:uid="{00000000-0006-0000-0200-000005000000}">
      <text>
        <r>
          <rPr>
            <sz val="10"/>
            <rFont val="Arial"/>
            <family val="2"/>
          </rPr>
          <t>Source: Microsoft 10-Q, shares outstanding as of Apr 23, 2026.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14" authorId="0" shapeId="0" xr:uid="{00000000-0006-0000-0300-000001000000}">
      <text>
        <r>
          <rPr>
            <sz val="10"/>
            <rFont val="Arial"/>
            <family val="2"/>
          </rPr>
          <t>AMZN net income $30,255mm (10-Q Q1 2026). MSFT $31,778mm (10-Q fiscal Q3 2026; GAAP=non-GAAP, OpenAI ~0).</t>
        </r>
      </text>
    </comment>
    <comment ref="B15" authorId="0" shapeId="0" xr:uid="{00000000-0006-0000-0300-000002000000}">
      <text>
        <r>
          <rPr>
            <sz val="10"/>
            <rFont val="Arial"/>
            <family val="2"/>
          </rPr>
          <t>AMZN diluted shares 10,874mm; MSFT 7,445mm (10-Qs).</t>
        </r>
      </text>
    </comment>
    <comment ref="B16" authorId="0" shapeId="0" xr:uid="{00000000-0006-0000-0300-000003000000}">
      <text>
        <r>
          <rPr>
            <sz val="10"/>
            <rFont val="Arial"/>
            <family val="2"/>
          </rPr>
          <t>AMZN income before taxes $39,834mm; MSFT $39,340mm (10-Qs).</t>
        </r>
      </text>
    </comment>
    <comment ref="B17" authorId="0" shapeId="0" xr:uid="{00000000-0006-0000-0300-000004000000}">
      <text>
        <r>
          <rPr>
            <sz val="10"/>
            <rFont val="Arial"/>
            <family val="2"/>
          </rPr>
          <t>AMZN provision $9,560mm; MSFT $7,562mm (10-Qs).</t>
        </r>
      </text>
    </comment>
    <comment ref="B18" authorId="0" shapeId="0" xr:uid="{00000000-0006-0000-0300-000005000000}">
      <text>
        <r>
          <rPr>
            <sz val="10"/>
            <color rgb="FF000000"/>
            <rFont val="Arial"/>
            <family val="2"/>
          </rPr>
          <t>Tax Uniformity: the single rate each company used last quarter (= provision / pre-tax), applied uniformly to ALL streams incl. capital gains. AMZN 24.0%, MSFT 19.2%.</t>
        </r>
      </text>
    </comment>
    <comment ref="B19" authorId="0" shapeId="0" xr:uid="{00000000-0006-0000-0300-000006000000}">
      <text>
        <r>
          <rPr>
            <sz val="10"/>
            <rFont val="Arial"/>
            <family val="2"/>
          </rPr>
          <t>AMZN Anthropic (private): $4,479mm AFS-debt reclass on note conversion + $12,328mm upward private-equity adjustment = $16,807mm pre-tax (10-Q). MSFT OpenAI already excluded in non-GAAP base.</t>
        </r>
      </text>
    </comment>
    <comment ref="B20" authorId="0" shapeId="0" xr:uid="{00000000-0006-0000-0300-000007000000}">
      <text>
        <r>
          <rPr>
            <sz val="10"/>
            <color rgb="FF000000"/>
            <rFont val="Arial"/>
            <family val="2"/>
          </rPr>
          <t>AMZN Rivian (public): marketable equity securities valuation loss $(889)mm, primarily Rivian (10-Q). A loss, so removing it adds back to core EPS.</t>
        </r>
      </text>
    </comment>
  </commentList>
</comments>
</file>

<file path=xl/sharedStrings.xml><?xml version="1.0" encoding="utf-8"?>
<sst xmlns="http://schemas.openxmlformats.org/spreadsheetml/2006/main" count="112" uniqueCount="106">
  <si>
    <t>Forecast price = median Mag7 forward P/E (Goldman 25x) x annualized Q2 2026E exclusion EPS. Exclusion EPS derived on the EPS Bridge tab (Anthropic + Rivian removed at actual tax; 5% QoQ growth). Build cost = May 2026 avg price.</t>
  </si>
  <si>
    <t>Metric</t>
  </si>
  <si>
    <t>Amazon (AMZN)</t>
  </si>
  <si>
    <t>Microsoft (MSFT)</t>
  </si>
  <si>
    <t>Q2 2026 earnings announcement date</t>
  </si>
  <si>
    <t>"07/30/2026"</t>
  </si>
  <si>
    <t>"07/28/2026"</t>
  </si>
  <si>
    <t>Stake (% of shares outstanding)</t>
  </si>
  <si>
    <t>Shares outstanding</t>
  </si>
  <si>
    <t>Shares purchased</t>
  </si>
  <si>
    <t>May 2026 avg build price ($/sh)</t>
  </si>
  <si>
    <t>Build / cost value ($)</t>
  </si>
  <si>
    <t>Q2 2026E quarterly exclusion EPS ($)</t>
  </si>
  <si>
    <t>Annualized EPS = 4x quarterly ($)</t>
  </si>
  <si>
    <t>Median Mag7 forward P/E (x)</t>
  </si>
  <si>
    <t>Forecast price at earnings ($/sh)</t>
  </si>
  <si>
    <t>Gain per share ($)</t>
  </si>
  <si>
    <t>Gain (%)</t>
  </si>
  <si>
    <t>Gain ($)</t>
  </si>
  <si>
    <t>Forecast position value ($)</t>
  </si>
  <si>
    <t>Source: mag7_may_2026_line_charts_slide_deck.pptx (per-day labels)</t>
  </si>
  <si>
    <t>Trading Day</t>
  </si>
  <si>
    <t>AAPL</t>
  </si>
  <si>
    <t>MSFT</t>
  </si>
  <si>
    <t>NVDA</t>
  </si>
  <si>
    <t>AMZN</t>
  </si>
  <si>
    <t>GOOGL</t>
  </si>
  <si>
    <t>META</t>
  </si>
  <si>
    <t>TSLA</t>
  </si>
  <si>
    <t>2026-05-01</t>
  </si>
  <si>
    <t>2026-05-04</t>
  </si>
  <si>
    <t>2026-05-05</t>
  </si>
  <si>
    <t>2026-05-06</t>
  </si>
  <si>
    <t>2026-05-07</t>
  </si>
  <si>
    <t>2026-05-08</t>
  </si>
  <si>
    <t>2026-05-11</t>
  </si>
  <si>
    <t>2026-05-12</t>
  </si>
  <si>
    <t>2026-05-13</t>
  </si>
  <si>
    <t>2026-05-14</t>
  </si>
  <si>
    <t>2026-05-15</t>
  </si>
  <si>
    <t>2026-05-18</t>
  </si>
  <si>
    <t>2026-05-19</t>
  </si>
  <si>
    <t>2026-05-20</t>
  </si>
  <si>
    <t>2026-05-21</t>
  </si>
  <si>
    <t>2026-05-22</t>
  </si>
  <si>
    <t>2026-05-26</t>
  </si>
  <si>
    <t>2026-05-27</t>
  </si>
  <si>
    <t>2026-05-28</t>
  </si>
  <si>
    <t>2026-05-29</t>
  </si>
  <si>
    <t>May 2026 Average</t>
  </si>
  <si>
    <t>Key Assumptions &amp; Inputs</t>
  </si>
  <si>
    <t>Annualization factor (quarters)</t>
  </si>
  <si>
    <t>QoQ exclusion-EPS growth rate</t>
  </si>
  <si>
    <t>Amazon - stake (% of shares outstanding)</t>
  </si>
  <si>
    <t>Microsoft - stake (% of shares outstanding)</t>
  </si>
  <si>
    <t>Amazon - shares outstanding</t>
  </si>
  <si>
    <t>Microsoft - shares outstanding</t>
  </si>
  <si>
    <t>Thesis: exclude the after-tax P&amp;L of any single &gt;$1B external investment the target made, then project 5% QoQ. Tax = the single rate EACH firm used last quarter (provision/pre-tax), applied uniformly to all streams incl. capital gains. Public stakes' P&amp;L excluded; private frozen at Jun 1, 2026.</t>
  </si>
  <si>
    <t>$1B+ external investments (Q1 2026 Other income (expense), net)</t>
  </si>
  <si>
    <t>Firm</t>
  </si>
  <si>
    <t>Investment</t>
  </si>
  <si>
    <t>Public/Private</t>
  </si>
  <si>
    <t>Q1 2026 pre-tax mark</t>
  </si>
  <si>
    <t>Thesis treatment</t>
  </si>
  <si>
    <t>Amazon</t>
  </si>
  <si>
    <t>Anthropic</t>
  </si>
  <si>
    <t>Private</t>
  </si>
  <si>
    <t>+$16,807mm</t>
  </si>
  <si>
    <t>Remove gain at company ETR (24.0%)</t>
  </si>
  <si>
    <t>Rivian</t>
  </si>
  <si>
    <t>Public</t>
  </si>
  <si>
    <t>-$889mm</t>
  </si>
  <si>
    <t>Remove MTM loss at company ETR</t>
  </si>
  <si>
    <t>Microsoft</t>
  </si>
  <si>
    <t>OpenAI</t>
  </si>
  <si>
    <t>n/a (already ex)</t>
  </si>
  <si>
    <t>Equity-method impact in non-GAAP base</t>
  </si>
  <si>
    <t>Base quarter</t>
  </si>
  <si>
    <t>cal Q1 2026</t>
  </si>
  <si>
    <t>fiscal Q3 2026 (Jan-Mar 26)</t>
  </si>
  <si>
    <t>Reported net income, base qtr ($mm)</t>
  </si>
  <si>
    <t>Diluted shares, base qtr (mm)</t>
  </si>
  <si>
    <t>Income before income taxes ($mm)</t>
  </si>
  <si>
    <t>Provision for income taxes ($mm)</t>
  </si>
  <si>
    <t>Effective tax rate (last quarter)</t>
  </si>
  <si>
    <t>Private &gt;$1B gain, pre-tax ($mm)</t>
  </si>
  <si>
    <t>Public &gt;$1B MTM, pre-tax ($mm)</t>
  </si>
  <si>
    <t>Private gain, after-tax (at ETR) ($mm)</t>
  </si>
  <si>
    <t>Public MTM, after-tax (at ETR) ($mm)</t>
  </si>
  <si>
    <t>Exclusion net income ($mm)</t>
  </si>
  <si>
    <t>Base-quarter Exclusion EPS ($)</t>
  </si>
  <si>
    <t>QoQ exclusion-EPS growth</t>
  </si>
  <si>
    <t>Q2 2026E Exclusion EPS = base x (1+g) ($)</t>
  </si>
  <si>
    <t>Microsoft fiscal quarter</t>
  </si>
  <si>
    <t>Net income impact ($B)</t>
  </si>
  <si>
    <t>Diluted EPS impact ($)</t>
  </si>
  <si>
    <t>FY26 Q1 (Jul-Sep 25)</t>
  </si>
  <si>
    <t>FY26 Q2 (Oct-Dec 25)</t>
  </si>
  <si>
    <t>FY26 Q3 (Jan-Mar 26)</t>
  </si>
  <si>
    <t>Sources: Amazon 10-Q (qtr ended 3/31/26) Statements of Operations + Other income note + Note 7 Income Taxes; Microsoft 10-Q (qtr ended 3/31/26) &amp; IR FY26 Q1/Q2/Q3.</t>
  </si>
  <si>
    <t>Mag7 Daily Closing Prices - May 2026 (USD)</t>
  </si>
  <si>
    <t>Tax handled per-firm on the EPS Bridge (each firm's actual effective rate).</t>
  </si>
  <si>
    <t>Mega-Investment Exclusion EPS - Bridge &amp; $1B+ Investment Treatment</t>
  </si>
  <si>
    <t>Reference - Microsoft OpenAI EPS impact by quarter (for Q5)</t>
  </si>
  <si>
    <t>EPS bridge - deriving Q2 2026E exclusion EPS (net-income basis, actual ETR)</t>
  </si>
  <si>
    <t>Question 3 - Gain by the Time Q2 2026 Earnings Are Announced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</si>
</sst>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;\(0.0%\);\-"/>
    <numFmt numFmtId="165" formatCode="#,##0;\(#,##0\);\-"/>
    <numFmt numFmtId="166" formatCode="\$#,##0.00;&quot;($&quot;#,##0.00\);\-"/>
    <numFmt numFmtId="167" formatCode="\$#,##0;&quot;($&quot;#,##0\);\-"/>
    <numFmt numFmtId="168" formatCode="0.0\x"/>
    <numFmt numFmtId="169" formatCode="#,##0;\(#,##0\)"/>
    <numFmt numFmtId="170" formatCode="0.00%;\(0.00%\)"/>
    <numFmt numFmtId="171" formatCode="\$#,##0.0;&quot;($&quot;#,##0.0\)"/>
  </numFmts>
  <fonts count="9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3"/>
      <name val="Arial"/>
      <family val="2"/>
    </font>
    <font>
      <i/>
      <sz val="8"/>
      <color rgb="FF555555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6F9"/>
        <bgColor rgb="FFFFFFFF"/>
      </patternFill>
    </fill>
    <fill>
      <patternFill patternType="solid">
        <fgColor rgb="FFFFF3CD"/>
        <bgColor rgb="FFF3F6F9"/>
      </patternFill>
    </fill>
    <fill>
      <patternFill patternType="solid">
        <fgColor theme="1" tint="0.499984740745262"/>
        <bgColor rgb="FF333333"/>
      </patternFill>
    </fill>
  </fills>
  <borders count="2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66" fontId="6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7" fontId="8" fillId="2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166" fontId="8" fillId="2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7" fontId="8" fillId="3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166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69" fontId="7" fillId="0" borderId="1" xfId="0" applyNumberFormat="1" applyFont="1" applyBorder="1" applyAlignment="1">
      <alignment horizontal="right" vertical="center"/>
    </xf>
    <xf numFmtId="170" fontId="7" fillId="0" borderId="1" xfId="0" applyNumberFormat="1" applyFont="1" applyBorder="1" applyAlignment="1">
      <alignment horizontal="right" vertical="center"/>
    </xf>
    <xf numFmtId="171" fontId="7" fillId="2" borderId="1" xfId="0" applyNumberFormat="1" applyFont="1" applyFill="1" applyBorder="1" applyAlignment="1">
      <alignment horizontal="right" vertical="center"/>
    </xf>
    <xf numFmtId="171" fontId="7" fillId="0" borderId="1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3CD"/>
      <rgbColor rgb="FFF3F6F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tabSelected="1" zoomScaleNormal="100" workbookViewId="0">
      <selection activeCell="A2" sqref="A2"/>
    </sheetView>
  </sheetViews>
  <sheetFormatPr baseColWidth="10" defaultColWidth="8.6640625" defaultRowHeight="15" x14ac:dyDescent="0.2"/>
  <cols>
    <col min="1" max="1" width="36" customWidth="1"/>
    <col min="2" max="3" width="20" customWidth="1"/>
  </cols>
  <sheetData>
    <row r="1" spans="1:3" ht="17" x14ac:dyDescent="0.2">
      <c r="A1" s="1" t="s">
        <v>105</v>
      </c>
    </row>
    <row r="2" spans="1:3" x14ac:dyDescent="0.2">
      <c r="A2" s="2" t="s">
        <v>0</v>
      </c>
    </row>
    <row r="4" spans="1:3" x14ac:dyDescent="0.2">
      <c r="A4" s="11" t="s">
        <v>1</v>
      </c>
      <c r="B4" s="11" t="s">
        <v>2</v>
      </c>
      <c r="C4" s="11" t="s">
        <v>3</v>
      </c>
    </row>
    <row r="5" spans="1:3" x14ac:dyDescent="0.2">
      <c r="A5" s="3" t="s">
        <v>4</v>
      </c>
      <c r="B5" s="12" t="s">
        <v>5</v>
      </c>
      <c r="C5" s="12" t="s">
        <v>6</v>
      </c>
    </row>
    <row r="6" spans="1:3" x14ac:dyDescent="0.2">
      <c r="A6" s="3" t="s">
        <v>7</v>
      </c>
      <c r="B6" s="13">
        <f>Assumptions!B6</f>
        <v>0.04</v>
      </c>
      <c r="C6" s="13">
        <f>Assumptions!B7</f>
        <v>2.5000000000000001E-2</v>
      </c>
    </row>
    <row r="7" spans="1:3" x14ac:dyDescent="0.2">
      <c r="A7" s="3" t="s">
        <v>8</v>
      </c>
      <c r="B7" s="14">
        <f>Assumptions!B8</f>
        <v>10750000000</v>
      </c>
      <c r="C7" s="14">
        <f>Assumptions!B9</f>
        <v>7428434704</v>
      </c>
    </row>
    <row r="8" spans="1:3" x14ac:dyDescent="0.2">
      <c r="A8" s="3" t="s">
        <v>9</v>
      </c>
      <c r="B8" s="14">
        <f>ROUND(B6*B7,0)</f>
        <v>430000000</v>
      </c>
      <c r="C8" s="14">
        <f>ROUND(C6*C7,0)</f>
        <v>185710868</v>
      </c>
    </row>
    <row r="9" spans="1:3" x14ac:dyDescent="0.2">
      <c r="A9" s="3" t="s">
        <v>10</v>
      </c>
      <c r="B9" s="15">
        <f>'May Prices'!E24</f>
        <v>268.73850000000004</v>
      </c>
      <c r="C9" s="15">
        <f>'May Prices'!C24</f>
        <v>417.59449999999998</v>
      </c>
    </row>
    <row r="10" spans="1:3" x14ac:dyDescent="0.2">
      <c r="A10" s="4" t="s">
        <v>11</v>
      </c>
      <c r="B10" s="16">
        <f>B8*B9</f>
        <v>115557555000.00002</v>
      </c>
      <c r="C10" s="16">
        <f>C8*C9</f>
        <v>77551837067.026001</v>
      </c>
    </row>
    <row r="11" spans="1:3" x14ac:dyDescent="0.2">
      <c r="A11" s="3" t="s">
        <v>12</v>
      </c>
      <c r="B11" s="15">
        <f>'EPS Bridge'!B26</f>
        <v>1.7532755992084827</v>
      </c>
      <c r="C11" s="15">
        <f>'EPS Bridge'!C26</f>
        <v>4.4817864338482201</v>
      </c>
    </row>
    <row r="12" spans="1:3" x14ac:dyDescent="0.2">
      <c r="A12" s="3" t="s">
        <v>13</v>
      </c>
      <c r="B12" s="15">
        <f>B11*Assumptions!B4</f>
        <v>7.013102396833931</v>
      </c>
      <c r="C12" s="15">
        <f>C11*Assumptions!B4</f>
        <v>17.92714573539288</v>
      </c>
    </row>
    <row r="13" spans="1:3" x14ac:dyDescent="0.2">
      <c r="A13" s="3" t="s">
        <v>14</v>
      </c>
      <c r="B13" s="17">
        <f>Assumptions!B3</f>
        <v>25</v>
      </c>
      <c r="C13" s="17">
        <f>Assumptions!B3</f>
        <v>25</v>
      </c>
    </row>
    <row r="14" spans="1:3" x14ac:dyDescent="0.2">
      <c r="A14" s="4" t="s">
        <v>15</v>
      </c>
      <c r="B14" s="18">
        <f>B13*B12</f>
        <v>175.32755992084827</v>
      </c>
      <c r="C14" s="18">
        <f>C13*C12</f>
        <v>448.17864338482201</v>
      </c>
    </row>
    <row r="15" spans="1:3" x14ac:dyDescent="0.2">
      <c r="A15" s="3" t="s">
        <v>16</v>
      </c>
      <c r="B15" s="15">
        <f>B14-B9</f>
        <v>-93.410940079151771</v>
      </c>
      <c r="C15" s="15">
        <f>C14-C9</f>
        <v>30.584143384822028</v>
      </c>
    </row>
    <row r="16" spans="1:3" x14ac:dyDescent="0.2">
      <c r="A16" s="5" t="s">
        <v>17</v>
      </c>
      <c r="B16" s="19">
        <f>B14/B9-1</f>
        <v>-0.34759046463067911</v>
      </c>
      <c r="C16" s="19">
        <f>C14/C9-1</f>
        <v>7.3238855839389716E-2</v>
      </c>
    </row>
    <row r="17" spans="1:3" x14ac:dyDescent="0.2">
      <c r="A17" s="5" t="s">
        <v>18</v>
      </c>
      <c r="B17" s="20">
        <f>B8*B15</f>
        <v>-40166704234.035263</v>
      </c>
      <c r="C17" s="20">
        <f>C8*C15</f>
        <v>5679807815.0317564</v>
      </c>
    </row>
    <row r="18" spans="1:3" x14ac:dyDescent="0.2">
      <c r="A18" s="4" t="s">
        <v>19</v>
      </c>
      <c r="B18" s="16">
        <f>B10+B17</f>
        <v>75390850765.964752</v>
      </c>
      <c r="C18" s="16">
        <f>C10+C17</f>
        <v>83231644882.057755</v>
      </c>
    </row>
    <row r="20" spans="1:3" x14ac:dyDescent="0.2">
      <c r="A20" s="2"/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zoomScaleNormal="100" workbookViewId="0">
      <selection activeCell="C28" sqref="C28"/>
    </sheetView>
  </sheetViews>
  <sheetFormatPr baseColWidth="10" defaultColWidth="8.6640625" defaultRowHeight="15" x14ac:dyDescent="0.2"/>
  <cols>
    <col min="1" max="1" width="14" customWidth="1"/>
    <col min="2" max="8" width="11" customWidth="1"/>
  </cols>
  <sheetData>
    <row r="1" spans="1:8" ht="17" x14ac:dyDescent="0.2">
      <c r="A1" s="1" t="s">
        <v>100</v>
      </c>
    </row>
    <row r="2" spans="1:8" x14ac:dyDescent="0.2">
      <c r="A2" s="2" t="s">
        <v>20</v>
      </c>
    </row>
    <row r="3" spans="1:8" x14ac:dyDescent="0.2">
      <c r="A3" s="11" t="s">
        <v>21</v>
      </c>
      <c r="B3" s="11" t="s">
        <v>22</v>
      </c>
      <c r="C3" s="11" t="s">
        <v>23</v>
      </c>
      <c r="D3" s="11" t="s">
        <v>24</v>
      </c>
      <c r="E3" s="11" t="s">
        <v>25</v>
      </c>
      <c r="F3" s="11" t="s">
        <v>26</v>
      </c>
      <c r="G3" s="11" t="s">
        <v>27</v>
      </c>
      <c r="H3" s="11" t="s">
        <v>28</v>
      </c>
    </row>
    <row r="4" spans="1:8" x14ac:dyDescent="0.2">
      <c r="A4" s="21" t="s">
        <v>29</v>
      </c>
      <c r="B4" s="22">
        <v>280.14</v>
      </c>
      <c r="C4" s="22">
        <v>414.44</v>
      </c>
      <c r="D4" s="22">
        <v>198.45</v>
      </c>
      <c r="E4" s="22">
        <v>268.26</v>
      </c>
      <c r="F4" s="22">
        <v>385.69</v>
      </c>
      <c r="G4" s="22">
        <v>608.75</v>
      </c>
      <c r="H4" s="22">
        <v>390.82</v>
      </c>
    </row>
    <row r="5" spans="1:8" x14ac:dyDescent="0.2">
      <c r="A5" s="23" t="s">
        <v>30</v>
      </c>
      <c r="B5" s="15">
        <v>276.83</v>
      </c>
      <c r="C5" s="15">
        <v>413.62</v>
      </c>
      <c r="D5" s="15">
        <v>198.48</v>
      </c>
      <c r="E5" s="15">
        <v>272.05</v>
      </c>
      <c r="F5" s="15">
        <v>383.25</v>
      </c>
      <c r="G5" s="15">
        <v>610.41</v>
      </c>
      <c r="H5" s="15">
        <v>392.51</v>
      </c>
    </row>
    <row r="6" spans="1:8" x14ac:dyDescent="0.2">
      <c r="A6" s="21" t="s">
        <v>31</v>
      </c>
      <c r="B6" s="22">
        <v>284.18</v>
      </c>
      <c r="C6" s="22">
        <v>411.38</v>
      </c>
      <c r="D6" s="22">
        <v>196.5</v>
      </c>
      <c r="E6" s="22">
        <v>273.55</v>
      </c>
      <c r="F6" s="22">
        <v>388.43</v>
      </c>
      <c r="G6" s="22">
        <v>604.96</v>
      </c>
      <c r="H6" s="22">
        <v>389.37</v>
      </c>
    </row>
    <row r="7" spans="1:8" x14ac:dyDescent="0.2">
      <c r="A7" s="23" t="s">
        <v>32</v>
      </c>
      <c r="B7" s="15">
        <v>287.51</v>
      </c>
      <c r="C7" s="15">
        <v>413.96</v>
      </c>
      <c r="D7" s="15">
        <v>207.83</v>
      </c>
      <c r="E7" s="15">
        <v>274.99</v>
      </c>
      <c r="F7" s="15">
        <v>398.04</v>
      </c>
      <c r="G7" s="15">
        <v>612.88</v>
      </c>
      <c r="H7" s="15">
        <v>398.73</v>
      </c>
    </row>
    <row r="8" spans="1:8" x14ac:dyDescent="0.2">
      <c r="A8" s="21" t="s">
        <v>33</v>
      </c>
      <c r="B8" s="22">
        <v>287.44</v>
      </c>
      <c r="C8" s="22">
        <v>420.77</v>
      </c>
      <c r="D8" s="22">
        <v>211.5</v>
      </c>
      <c r="E8" s="22">
        <v>271.17</v>
      </c>
      <c r="F8" s="22">
        <v>397.99</v>
      </c>
      <c r="G8" s="22">
        <v>616.80999999999995</v>
      </c>
      <c r="H8" s="22">
        <v>411.79</v>
      </c>
    </row>
    <row r="9" spans="1:8" x14ac:dyDescent="0.2">
      <c r="A9" s="23" t="s">
        <v>34</v>
      </c>
      <c r="B9" s="15">
        <v>293.32</v>
      </c>
      <c r="C9" s="15">
        <v>415.12</v>
      </c>
      <c r="D9" s="15">
        <v>215.2</v>
      </c>
      <c r="E9" s="15">
        <v>272.68</v>
      </c>
      <c r="F9" s="15">
        <v>400.8</v>
      </c>
      <c r="G9" s="15">
        <v>609.63</v>
      </c>
      <c r="H9" s="15">
        <v>428.35</v>
      </c>
    </row>
    <row r="10" spans="1:8" x14ac:dyDescent="0.2">
      <c r="A10" s="21" t="s">
        <v>35</v>
      </c>
      <c r="B10" s="22">
        <v>292.68</v>
      </c>
      <c r="C10" s="22">
        <v>412.66</v>
      </c>
      <c r="D10" s="22">
        <v>219.44</v>
      </c>
      <c r="E10" s="22">
        <v>268.99</v>
      </c>
      <c r="F10" s="22">
        <v>388.64</v>
      </c>
      <c r="G10" s="22">
        <v>598.86</v>
      </c>
      <c r="H10" s="22">
        <v>445</v>
      </c>
    </row>
    <row r="11" spans="1:8" x14ac:dyDescent="0.2">
      <c r="A11" s="23" t="s">
        <v>36</v>
      </c>
      <c r="B11" s="15">
        <v>294.8</v>
      </c>
      <c r="C11" s="15">
        <v>407.77</v>
      </c>
      <c r="D11" s="15">
        <v>220.78</v>
      </c>
      <c r="E11" s="15">
        <v>265.82</v>
      </c>
      <c r="F11" s="15">
        <v>387.35</v>
      </c>
      <c r="G11" s="15">
        <v>603</v>
      </c>
      <c r="H11" s="15">
        <v>433.45</v>
      </c>
    </row>
    <row r="12" spans="1:8" x14ac:dyDescent="0.2">
      <c r="A12" s="21" t="s">
        <v>37</v>
      </c>
      <c r="B12" s="22">
        <v>298.87</v>
      </c>
      <c r="C12" s="22">
        <v>405.21</v>
      </c>
      <c r="D12" s="22">
        <v>225.83</v>
      </c>
      <c r="E12" s="22">
        <v>270.13</v>
      </c>
      <c r="F12" s="22">
        <v>402.62</v>
      </c>
      <c r="G12" s="22">
        <v>616.63</v>
      </c>
      <c r="H12" s="22">
        <v>445.27</v>
      </c>
    </row>
    <row r="13" spans="1:8" x14ac:dyDescent="0.2">
      <c r="A13" s="23" t="s">
        <v>38</v>
      </c>
      <c r="B13" s="15">
        <v>298.20999999999998</v>
      </c>
      <c r="C13" s="15">
        <v>409.43</v>
      </c>
      <c r="D13" s="15">
        <v>235.74</v>
      </c>
      <c r="E13" s="15">
        <v>267.22000000000003</v>
      </c>
      <c r="F13" s="15">
        <v>401.07</v>
      </c>
      <c r="G13" s="15">
        <v>618.42999999999995</v>
      </c>
      <c r="H13" s="15">
        <v>443.3</v>
      </c>
    </row>
    <row r="14" spans="1:8" x14ac:dyDescent="0.2">
      <c r="A14" s="21" t="s">
        <v>39</v>
      </c>
      <c r="B14" s="22">
        <v>300.23</v>
      </c>
      <c r="C14" s="22">
        <v>421.92</v>
      </c>
      <c r="D14" s="22">
        <v>225.32</v>
      </c>
      <c r="E14" s="22">
        <v>264.14</v>
      </c>
      <c r="F14" s="22">
        <v>396.78</v>
      </c>
      <c r="G14" s="22">
        <v>614.23</v>
      </c>
      <c r="H14" s="22">
        <v>422.24</v>
      </c>
    </row>
    <row r="15" spans="1:8" x14ac:dyDescent="0.2">
      <c r="A15" s="23" t="s">
        <v>40</v>
      </c>
      <c r="B15" s="15">
        <v>297.83999999999997</v>
      </c>
      <c r="C15" s="15">
        <v>423.54</v>
      </c>
      <c r="D15" s="15">
        <v>222.32</v>
      </c>
      <c r="E15" s="15">
        <v>264.86</v>
      </c>
      <c r="F15" s="15">
        <v>396.94</v>
      </c>
      <c r="G15" s="15">
        <v>611.21</v>
      </c>
      <c r="H15" s="15">
        <v>409.99</v>
      </c>
    </row>
    <row r="16" spans="1:8" x14ac:dyDescent="0.2">
      <c r="A16" s="21" t="s">
        <v>41</v>
      </c>
      <c r="B16" s="22">
        <v>298.97000000000003</v>
      </c>
      <c r="C16" s="22">
        <v>417.42</v>
      </c>
      <c r="D16" s="22">
        <v>220.61</v>
      </c>
      <c r="E16" s="22">
        <v>259.33999999999997</v>
      </c>
      <c r="F16" s="22">
        <v>387.66</v>
      </c>
      <c r="G16" s="22">
        <v>602.61</v>
      </c>
      <c r="H16" s="22">
        <v>404.11</v>
      </c>
    </row>
    <row r="17" spans="1:8" x14ac:dyDescent="0.2">
      <c r="A17" s="23" t="s">
        <v>42</v>
      </c>
      <c r="B17" s="15">
        <v>302.25</v>
      </c>
      <c r="C17" s="15">
        <v>421.06</v>
      </c>
      <c r="D17" s="15">
        <v>223.47</v>
      </c>
      <c r="E17" s="15">
        <v>265.01</v>
      </c>
      <c r="F17" s="15">
        <v>388.91</v>
      </c>
      <c r="G17" s="15">
        <v>605.05999999999995</v>
      </c>
      <c r="H17" s="15">
        <v>417.26</v>
      </c>
    </row>
    <row r="18" spans="1:8" x14ac:dyDescent="0.2">
      <c r="A18" s="21" t="s">
        <v>43</v>
      </c>
      <c r="B18" s="22">
        <v>304.99</v>
      </c>
      <c r="C18" s="22">
        <v>419.09</v>
      </c>
      <c r="D18" s="22">
        <v>219.51</v>
      </c>
      <c r="E18" s="22">
        <v>268.45999999999998</v>
      </c>
      <c r="F18" s="22">
        <v>387.66</v>
      </c>
      <c r="G18" s="22">
        <v>607.38</v>
      </c>
      <c r="H18" s="22">
        <v>417.85</v>
      </c>
    </row>
    <row r="19" spans="1:8" x14ac:dyDescent="0.2">
      <c r="A19" s="23" t="s">
        <v>44</v>
      </c>
      <c r="B19" s="15">
        <v>308.82</v>
      </c>
      <c r="C19" s="15">
        <v>418.57</v>
      </c>
      <c r="D19" s="15">
        <v>215.33</v>
      </c>
      <c r="E19" s="15">
        <v>266.32</v>
      </c>
      <c r="F19" s="15">
        <v>382.97</v>
      </c>
      <c r="G19" s="15">
        <v>610.26</v>
      </c>
      <c r="H19" s="15">
        <v>426.01</v>
      </c>
    </row>
    <row r="20" spans="1:8" x14ac:dyDescent="0.2">
      <c r="A20" s="21" t="s">
        <v>45</v>
      </c>
      <c r="B20" s="22">
        <v>308.33</v>
      </c>
      <c r="C20" s="22">
        <v>416.03</v>
      </c>
      <c r="D20" s="22">
        <v>214.86</v>
      </c>
      <c r="E20" s="22">
        <v>265.29000000000002</v>
      </c>
      <c r="F20" s="22">
        <v>388.88</v>
      </c>
      <c r="G20" s="22">
        <v>612.34</v>
      </c>
      <c r="H20" s="22">
        <v>433.59</v>
      </c>
    </row>
    <row r="21" spans="1:8" x14ac:dyDescent="0.2">
      <c r="A21" s="23" t="s">
        <v>46</v>
      </c>
      <c r="B21" s="15">
        <v>310.85000000000002</v>
      </c>
      <c r="C21" s="15">
        <v>412.67</v>
      </c>
      <c r="D21" s="15">
        <v>212.6</v>
      </c>
      <c r="E21" s="15">
        <v>271.85000000000002</v>
      </c>
      <c r="F21" s="15">
        <v>388.83</v>
      </c>
      <c r="G21" s="15">
        <v>635.26</v>
      </c>
      <c r="H21" s="15">
        <v>440.36</v>
      </c>
    </row>
    <row r="22" spans="1:8" x14ac:dyDescent="0.2">
      <c r="A22" s="21" t="s">
        <v>47</v>
      </c>
      <c r="B22" s="22">
        <v>312.51</v>
      </c>
      <c r="C22" s="22">
        <v>426.99</v>
      </c>
      <c r="D22" s="22">
        <v>214.25</v>
      </c>
      <c r="E22" s="22">
        <v>274</v>
      </c>
      <c r="F22" s="22">
        <v>390.13</v>
      </c>
      <c r="G22" s="22">
        <v>635.29</v>
      </c>
      <c r="H22" s="22">
        <v>442.1</v>
      </c>
    </row>
    <row r="23" spans="1:8" x14ac:dyDescent="0.2">
      <c r="A23" s="23" t="s">
        <v>48</v>
      </c>
      <c r="B23" s="15">
        <v>312.06</v>
      </c>
      <c r="C23" s="15">
        <v>450.24</v>
      </c>
      <c r="D23" s="15">
        <v>211.14</v>
      </c>
      <c r="E23" s="15">
        <v>270.64</v>
      </c>
      <c r="F23" s="15">
        <v>380.34</v>
      </c>
      <c r="G23" s="15">
        <v>632.51</v>
      </c>
      <c r="H23" s="15">
        <v>435.79</v>
      </c>
    </row>
    <row r="24" spans="1:8" x14ac:dyDescent="0.2">
      <c r="A24" s="6" t="s">
        <v>49</v>
      </c>
      <c r="B24" s="7">
        <f t="shared" ref="B24:H24" si="0">AVERAGE(B4:B23)</f>
        <v>297.54150000000004</v>
      </c>
      <c r="C24" s="7">
        <f t="shared" si="0"/>
        <v>417.59449999999998</v>
      </c>
      <c r="D24" s="7">
        <f t="shared" si="0"/>
        <v>215.45800000000003</v>
      </c>
      <c r="E24" s="7">
        <f t="shared" si="0"/>
        <v>268.73850000000004</v>
      </c>
      <c r="F24" s="7">
        <f t="shared" si="0"/>
        <v>391.149</v>
      </c>
      <c r="G24" s="7">
        <f t="shared" si="0"/>
        <v>613.32550000000003</v>
      </c>
      <c r="H24" s="7">
        <f t="shared" si="0"/>
        <v>421.39449999999999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"/>
  <sheetViews>
    <sheetView zoomScaleNormal="100" workbookViewId="0">
      <selection activeCell="B3" sqref="B3:B9"/>
    </sheetView>
  </sheetViews>
  <sheetFormatPr baseColWidth="10" defaultColWidth="8.6640625" defaultRowHeight="15" x14ac:dyDescent="0.2"/>
  <cols>
    <col min="1" max="1" width="42" customWidth="1"/>
    <col min="2" max="2" width="18" customWidth="1"/>
  </cols>
  <sheetData>
    <row r="1" spans="1:2" ht="17" x14ac:dyDescent="0.2">
      <c r="A1" s="1" t="s">
        <v>50</v>
      </c>
    </row>
    <row r="3" spans="1:2" x14ac:dyDescent="0.2">
      <c r="A3" s="8" t="s">
        <v>14</v>
      </c>
      <c r="B3" s="17">
        <v>25</v>
      </c>
    </row>
    <row r="4" spans="1:2" x14ac:dyDescent="0.2">
      <c r="A4" s="8" t="s">
        <v>51</v>
      </c>
      <c r="B4" s="28">
        <v>4</v>
      </c>
    </row>
    <row r="5" spans="1:2" x14ac:dyDescent="0.2">
      <c r="A5" s="8" t="s">
        <v>52</v>
      </c>
      <c r="B5" s="13">
        <v>0.05</v>
      </c>
    </row>
    <row r="6" spans="1:2" x14ac:dyDescent="0.2">
      <c r="A6" s="8" t="s">
        <v>53</v>
      </c>
      <c r="B6" s="13">
        <v>0.04</v>
      </c>
    </row>
    <row r="7" spans="1:2" x14ac:dyDescent="0.2">
      <c r="A7" s="8" t="s">
        <v>54</v>
      </c>
      <c r="B7" s="13">
        <v>2.5000000000000001E-2</v>
      </c>
    </row>
    <row r="8" spans="1:2" x14ac:dyDescent="0.2">
      <c r="A8" s="8" t="s">
        <v>55</v>
      </c>
      <c r="B8" s="14">
        <v>10750000000</v>
      </c>
    </row>
    <row r="9" spans="1:2" x14ac:dyDescent="0.2">
      <c r="A9" s="8" t="s">
        <v>56</v>
      </c>
      <c r="B9" s="14">
        <v>7428434704</v>
      </c>
    </row>
    <row r="11" spans="1:2" x14ac:dyDescent="0.2">
      <c r="A11" s="2" t="s">
        <v>101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"/>
  <sheetViews>
    <sheetView zoomScaleNormal="100" workbookViewId="0">
      <selection activeCell="A12" sqref="A12"/>
    </sheetView>
  </sheetViews>
  <sheetFormatPr baseColWidth="10" defaultColWidth="8.6640625" defaultRowHeight="15" x14ac:dyDescent="0.2"/>
  <cols>
    <col min="1" max="1" width="46" customWidth="1"/>
    <col min="2" max="2" width="24" customWidth="1"/>
    <col min="3" max="3" width="26" customWidth="1"/>
    <col min="4" max="4" width="22" customWidth="1"/>
    <col min="5" max="5" width="36" customWidth="1"/>
  </cols>
  <sheetData>
    <row r="1" spans="1:5" ht="17" x14ac:dyDescent="0.2">
      <c r="A1" s="1" t="s">
        <v>102</v>
      </c>
    </row>
    <row r="2" spans="1:5" x14ac:dyDescent="0.2">
      <c r="A2" s="2" t="s">
        <v>57</v>
      </c>
    </row>
    <row r="4" spans="1:5" x14ac:dyDescent="0.2">
      <c r="A4" s="9" t="s">
        <v>58</v>
      </c>
    </row>
    <row r="5" spans="1:5" x14ac:dyDescent="0.2">
      <c r="A5" s="11" t="s">
        <v>59</v>
      </c>
      <c r="B5" s="11" t="s">
        <v>60</v>
      </c>
      <c r="C5" s="11" t="s">
        <v>61</v>
      </c>
      <c r="D5" s="11" t="s">
        <v>62</v>
      </c>
      <c r="E5" s="11" t="s">
        <v>63</v>
      </c>
    </row>
    <row r="6" spans="1:5" x14ac:dyDescent="0.2">
      <c r="A6" s="3" t="s">
        <v>64</v>
      </c>
      <c r="B6" s="3" t="s">
        <v>65</v>
      </c>
      <c r="C6" s="3" t="s">
        <v>66</v>
      </c>
      <c r="D6" s="3" t="s">
        <v>67</v>
      </c>
      <c r="E6" s="3" t="s">
        <v>68</v>
      </c>
    </row>
    <row r="7" spans="1:5" x14ac:dyDescent="0.2">
      <c r="A7" s="3" t="s">
        <v>64</v>
      </c>
      <c r="B7" s="3" t="s">
        <v>69</v>
      </c>
      <c r="C7" s="3" t="s">
        <v>70</v>
      </c>
      <c r="D7" s="3" t="s">
        <v>71</v>
      </c>
      <c r="E7" s="3" t="s">
        <v>72</v>
      </c>
    </row>
    <row r="8" spans="1:5" x14ac:dyDescent="0.2">
      <c r="A8" s="3" t="s">
        <v>73</v>
      </c>
      <c r="B8" s="3" t="s">
        <v>74</v>
      </c>
      <c r="C8" s="3" t="s">
        <v>66</v>
      </c>
      <c r="D8" s="3" t="s">
        <v>75</v>
      </c>
      <c r="E8" s="3" t="s">
        <v>76</v>
      </c>
    </row>
    <row r="11" spans="1:5" x14ac:dyDescent="0.2">
      <c r="A11" s="9" t="s">
        <v>104</v>
      </c>
    </row>
    <row r="12" spans="1:5" x14ac:dyDescent="0.2">
      <c r="A12" s="11" t="s">
        <v>1</v>
      </c>
      <c r="B12" s="11" t="s">
        <v>2</v>
      </c>
      <c r="C12" s="11" t="s">
        <v>3</v>
      </c>
    </row>
    <row r="13" spans="1:5" x14ac:dyDescent="0.2">
      <c r="A13" s="3" t="s">
        <v>77</v>
      </c>
      <c r="B13" s="12" t="s">
        <v>78</v>
      </c>
      <c r="C13" s="12" t="s">
        <v>79</v>
      </c>
    </row>
    <row r="14" spans="1:5" x14ac:dyDescent="0.2">
      <c r="A14" s="3" t="s">
        <v>80</v>
      </c>
      <c r="B14" s="24">
        <v>30255</v>
      </c>
      <c r="C14" s="24">
        <v>31778</v>
      </c>
    </row>
    <row r="15" spans="1:5" x14ac:dyDescent="0.2">
      <c r="A15" s="3" t="s">
        <v>81</v>
      </c>
      <c r="B15" s="24">
        <v>10874</v>
      </c>
      <c r="C15" s="24">
        <v>7445</v>
      </c>
    </row>
    <row r="16" spans="1:5" x14ac:dyDescent="0.2">
      <c r="A16" s="3" t="s">
        <v>82</v>
      </c>
      <c r="B16" s="24">
        <v>39834</v>
      </c>
      <c r="C16" s="24">
        <v>39340</v>
      </c>
    </row>
    <row r="17" spans="1:3" x14ac:dyDescent="0.2">
      <c r="A17" s="3" t="s">
        <v>83</v>
      </c>
      <c r="B17" s="24">
        <v>9560</v>
      </c>
      <c r="C17" s="24">
        <v>7562</v>
      </c>
    </row>
    <row r="18" spans="1:3" x14ac:dyDescent="0.2">
      <c r="A18" s="3" t="s">
        <v>84</v>
      </c>
      <c r="B18" s="25">
        <f>B17/B16</f>
        <v>0.23999598333082292</v>
      </c>
      <c r="C18" s="25">
        <f>C17/C16</f>
        <v>0.19222165734621249</v>
      </c>
    </row>
    <row r="19" spans="1:3" x14ac:dyDescent="0.2">
      <c r="A19" s="3" t="s">
        <v>85</v>
      </c>
      <c r="B19" s="24">
        <v>16807</v>
      </c>
      <c r="C19" s="24">
        <v>0</v>
      </c>
    </row>
    <row r="20" spans="1:3" x14ac:dyDescent="0.2">
      <c r="A20" s="3" t="s">
        <v>86</v>
      </c>
      <c r="B20" s="24">
        <v>-889</v>
      </c>
      <c r="C20" s="24">
        <v>0</v>
      </c>
    </row>
    <row r="21" spans="1:3" x14ac:dyDescent="0.2">
      <c r="A21" s="3" t="s">
        <v>87</v>
      </c>
      <c r="B21" s="24">
        <f>B19*(1-B18)</f>
        <v>12773.387508158859</v>
      </c>
      <c r="C21" s="24">
        <f>C19*(1-C18)</f>
        <v>0</v>
      </c>
    </row>
    <row r="22" spans="1:3" x14ac:dyDescent="0.2">
      <c r="A22" s="3" t="s">
        <v>88</v>
      </c>
      <c r="B22" s="24">
        <f>B20*(1-B18)</f>
        <v>-675.64357081889841</v>
      </c>
      <c r="C22" s="24">
        <f>C20*(1-C18)</f>
        <v>0</v>
      </c>
    </row>
    <row r="23" spans="1:3" x14ac:dyDescent="0.2">
      <c r="A23" s="3" t="s">
        <v>89</v>
      </c>
      <c r="B23" s="24">
        <f>B14-B21-B22</f>
        <v>18157.256062660039</v>
      </c>
      <c r="C23" s="24">
        <f>C14-C21-C22</f>
        <v>31778</v>
      </c>
    </row>
    <row r="24" spans="1:3" x14ac:dyDescent="0.2">
      <c r="A24" s="6" t="s">
        <v>90</v>
      </c>
      <c r="B24" s="15">
        <f>B23/B15</f>
        <v>1.6697862849604597</v>
      </c>
      <c r="C24" s="15">
        <f>C23/C15</f>
        <v>4.2683680322363999</v>
      </c>
    </row>
    <row r="25" spans="1:3" x14ac:dyDescent="0.2">
      <c r="A25" s="3" t="s">
        <v>91</v>
      </c>
      <c r="B25" s="13">
        <f>Assumptions!B5</f>
        <v>0.05</v>
      </c>
      <c r="C25" s="13">
        <f>Assumptions!B5</f>
        <v>0.05</v>
      </c>
    </row>
    <row r="26" spans="1:3" x14ac:dyDescent="0.2">
      <c r="A26" s="5" t="s">
        <v>92</v>
      </c>
      <c r="B26" s="7">
        <f>B24*(1+B25)</f>
        <v>1.7532755992084827</v>
      </c>
      <c r="C26" s="7">
        <f>C24*(1+C25)</f>
        <v>4.4817864338482201</v>
      </c>
    </row>
    <row r="28" spans="1:3" x14ac:dyDescent="0.2">
      <c r="A28" s="9" t="s">
        <v>103</v>
      </c>
    </row>
    <row r="29" spans="1:3" x14ac:dyDescent="0.2">
      <c r="A29" s="11" t="s">
        <v>93</v>
      </c>
      <c r="B29" s="11" t="s">
        <v>94</v>
      </c>
      <c r="C29" s="11" t="s">
        <v>95</v>
      </c>
    </row>
    <row r="30" spans="1:3" x14ac:dyDescent="0.2">
      <c r="A30" s="10" t="s">
        <v>96</v>
      </c>
      <c r="B30" s="26">
        <v>-3.1</v>
      </c>
      <c r="C30" s="22">
        <v>-0.41</v>
      </c>
    </row>
    <row r="31" spans="1:3" x14ac:dyDescent="0.2">
      <c r="A31" s="3" t="s">
        <v>97</v>
      </c>
      <c r="B31" s="27">
        <v>7.6</v>
      </c>
      <c r="C31" s="15">
        <v>1.02</v>
      </c>
    </row>
    <row r="32" spans="1:3" x14ac:dyDescent="0.2">
      <c r="A32" s="10" t="s">
        <v>98</v>
      </c>
      <c r="B32" s="26">
        <v>-1.4E-2</v>
      </c>
      <c r="C32" s="22">
        <v>0</v>
      </c>
    </row>
    <row r="34" spans="1:1" x14ac:dyDescent="0.2">
      <c r="A34" s="2" t="s">
        <v>99</v>
      </c>
    </row>
  </sheetData>
  <pageMargins left="0.75" right="0.75" top="1" bottom="1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3 Gain Model</vt:lpstr>
      <vt:lpstr>May Prices</vt:lpstr>
      <vt:lpstr>Assumptions</vt:lpstr>
      <vt:lpstr>EPS Bridge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Kartik Dalal</cp:lastModifiedBy>
  <cp:revision>0</cp:revision>
  <dcterms:created xsi:type="dcterms:W3CDTF">2026-06-05T10:42:49Z</dcterms:created>
  <dcterms:modified xsi:type="dcterms:W3CDTF">2026-06-08T14:59:51Z</dcterms:modified>
  <dc:language>en-US</dc:language>
</cp:coreProperties>
</file>